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X - MDE - Municípios" sheetId="1" r:id="rId1"/>
  </sheets>
  <definedNames>
    <definedName name="_xlnm.Print_Area" localSheetId="0">'Anexo X - MDE - Municípios'!$A$1:$F$167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<sst xmlns="http://schemas.openxmlformats.org/spreadsheetml/2006/main" count="232" uniqueCount="166">
  <si>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</si>
  <si>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</si>
  <si>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</si>
  <si>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</si>
  <si>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</si>
  <si>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</si>
  <si>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t>7- RECEITA DE OPERAÇÕES DE CRÉDITO</t>
  </si>
  <si>
    <r>
      <t xml:space="preserve">    6.2- Aplicação Financeira </t>
    </r>
    <r>
      <rPr>
        <sz val="8"/>
        <rFont val="Times New Roman"/>
        <family val="1"/>
      </rPr>
      <t xml:space="preserve">dos Recursos </t>
    </r>
    <r>
      <rPr>
        <sz val="8"/>
        <color indexed="8"/>
        <rFont val="Times New Roman"/>
        <family val="1"/>
      </rPr>
      <t>de Convênios</t>
    </r>
  </si>
  <si>
    <r>
      <t xml:space="preserve">8- OUTRAS RECEITAS </t>
    </r>
    <r>
      <rPr>
        <sz val="8"/>
        <color indexed="8"/>
        <rFont val="Times New Roman"/>
        <family val="1"/>
      </rPr>
      <t xml:space="preserve">PARA </t>
    </r>
    <r>
      <rPr>
        <sz val="8"/>
        <rFont val="Times New Roman"/>
        <family val="1"/>
      </rPr>
      <t>FINANCIAMENTO</t>
    </r>
    <r>
      <rPr>
        <sz val="8"/>
        <color indexed="8"/>
        <rFont val="Times New Roman"/>
        <family val="1"/>
      </rPr>
      <t xml:space="preserve"> DO ENSINO</t>
    </r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</si>
  <si>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</si>
  <si>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</si>
  <si>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</si>
  <si>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</si>
  <si>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</si>
  <si>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</si>
  <si>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</si>
  <si>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</si>
  <si>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</si>
  <si>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</si>
  <si>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22- IMPOSTOS E TRANSFERÊNCIAS DESTINADAS À MDE (25% de 3)</t>
    </r>
    <r>
      <rPr>
        <vertAlign val="superscript"/>
        <sz val="8"/>
        <rFont val="Times New Roman"/>
        <family val="1"/>
      </rPr>
      <t>3</t>
    </r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</si>
  <si>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</si>
  <si>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</si>
  <si>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</si>
  <si>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</si>
  <si>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</si>
  <si>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</si>
  <si>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</si>
  <si>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</si>
  <si>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</si>
  <si>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</si>
  <si>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</si>
  <si>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</si>
  <si>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</si>
  <si>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</si>
  <si>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8"/>
        <rFont val="Times New Roman"/>
        <family val="1"/>
      </rPr>
      <t>4</t>
    </r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</si>
  <si>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</si>
  <si>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</si>
  <si>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</si>
  <si>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 xml:space="preserve">41- </t>
    </r>
    <r>
      <rPr>
        <sz val="8"/>
        <color indexed="8"/>
        <rFont val="Times New Roman"/>
        <family val="1"/>
      </rPr>
      <t xml:space="preserve">DESPESAS CUSTEADAS COM A </t>
    </r>
    <r>
      <rPr>
        <sz val="8"/>
        <rFont val="Times New Roman"/>
        <family val="1"/>
      </rPr>
      <t>CONTRIBUIÇÃO SOCIAL DO SALÁRIO-EDUCAÇÃO</t>
    </r>
  </si>
  <si>
    <r>
      <t xml:space="preserve">42- </t>
    </r>
    <r>
      <rPr>
        <sz val="8"/>
        <color indexed="8"/>
        <rFont val="Times New Roman"/>
        <family val="1"/>
      </rPr>
      <t xml:space="preserve">DESPESAS CUSTEADAS COM </t>
    </r>
    <r>
      <rPr>
        <sz val="8"/>
        <rFont val="Times New Roman"/>
        <family val="1"/>
      </rPr>
      <t>OPERAÇÕES DE CRÉDITO</t>
    </r>
  </si>
  <si>
    <r>
      <t xml:space="preserve">43- </t>
    </r>
    <r>
      <rPr>
        <sz val="8"/>
        <color indexed="8"/>
        <rFont val="Times New Roman"/>
        <family val="1"/>
      </rPr>
      <t xml:space="preserve">DESPESAS CUSTEADAS COM OUTRAS RECEITAS PARA </t>
    </r>
    <r>
      <rPr>
        <sz val="8"/>
        <rFont val="Times New Roman"/>
        <family val="1"/>
      </rPr>
      <t>FINANCIAMENTO</t>
    </r>
    <r>
      <rPr>
        <sz val="8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</si>
  <si>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8"/>
        <color indexed="8"/>
        <rFont val="Times New Roman"/>
        <family val="1"/>
      </rPr>
      <t xml:space="preserve">RECEITAS ADICIONAIS PARA </t>
    </r>
    <r>
      <rPr>
        <sz val="8"/>
        <rFont val="Times New Roman"/>
        <family val="1"/>
      </rPr>
      <t>FINANCIAMENTO</t>
    </r>
    <r>
      <rPr>
        <sz val="8"/>
        <color indexed="8"/>
        <rFont val="Times New Roman"/>
        <family val="1"/>
      </rPr>
      <t xml:space="preserve"> DO ENSINO</t>
    </r>
    <r>
      <rPr>
        <sz val="8"/>
        <rFont val="Times New Roman"/>
        <family val="1"/>
      </rPr>
      <t xml:space="preserve"> (40 + 41 + 42 + 43)</t>
    </r>
  </si>
  <si>
    <t>46- RESTOS A PAGAR DE DESPESAS COM MDE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</si>
  <si>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</si>
  <si>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</si>
  <si>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</si>
  <si>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</si>
  <si>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t>DESPESAS LIQUIDADAS</t>
  </si>
  <si>
    <t>(d)</t>
  </si>
  <si>
    <t>(e)</t>
  </si>
  <si>
    <t>FONTE: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</si>
  <si>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</si>
  <si>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</si>
  <si>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</si>
  <si>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</si>
  <si>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</si>
  <si>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</si>
  <si>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</si>
  <si>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 xml:space="preserve">    24.2- Despesas Custeadas com Outros Recursos de Impostos</t>
  </si>
  <si>
    <t>RESTOS A PAGAR INSCRITOS COM DISPONIBILIDADE FINANCEIRA
DE RECURSOS DE IMPOSTOS VINCULADOS AO ENSINO</t>
  </si>
  <si>
    <t>SALDO ATÉ O BIMESTRE</t>
  </si>
  <si>
    <r>
      <t>1</t>
    </r>
    <r>
      <rPr>
        <sz val="8"/>
        <rFont val="Times New Roman"/>
        <family val="1"/>
      </rPr>
      <t xml:space="preserve"> Limites mínimos anuais a serem cumpridos no encerramento do exercício.</t>
    </r>
  </si>
  <si>
    <t xml:space="preserve">    1.1- Receita Resultante do Imposto sobre a Propriedade Predial e Territorial Urbana – IPTU</t>
  </si>
  <si>
    <r>
      <t xml:space="preserve">    1.2- Receita Resultante do Imposto sobre Transmissão </t>
    </r>
    <r>
      <rPr>
        <i/>
        <sz val="8"/>
        <color indexed="8"/>
        <rFont val="Times New Roman"/>
        <family val="1"/>
      </rPr>
      <t>Inter Vivos</t>
    </r>
    <r>
      <rPr>
        <sz val="8"/>
        <color indexed="8"/>
        <rFont val="Times New Roman"/>
        <family val="1"/>
      </rPr>
      <t xml:space="preserve"> – ITBI</t>
    </r>
  </si>
  <si>
    <t xml:space="preserve">    1.3- Receita Resultante do Imposto sobre Serviços de Qualquer Natureza – ISS</t>
  </si>
  <si>
    <r>
      <t xml:space="preserve">    1.4- Receita Resultante do Imposto de Renda Retido na Fonte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IRRF</t>
    </r>
  </si>
  <si>
    <t xml:space="preserve">    2.1- Cota-Parte FPM 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</si>
  <si>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</si>
  <si>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</si>
  <si>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</si>
  <si>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</si>
  <si>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</si>
  <si>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</si>
  <si>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VALOR</t>
  </si>
  <si>
    <t xml:space="preserve">    24.1- Despesas Custeadas com Recursos do FUNDEB</t>
  </si>
  <si>
    <r>
      <t>5</t>
    </r>
    <r>
      <rPr>
        <sz val="8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</si>
  <si>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t>DEMONSTRATIVO DAS RECEITAS E DESPESAS COM MANUTENÇÃO E DESENVOLVIMENTO DO ENSINO - MDE</t>
  </si>
  <si>
    <t xml:space="preserve"> </t>
  </si>
  <si>
    <t>RREO - ANEXO X (LDB, art. 72)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</si>
  <si>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</si>
  <si>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</si>
  <si>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</si>
  <si>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3- TOTAL DA RECEITA DE IMPOSTOS (1 + 2)</t>
  </si>
  <si>
    <t>RECEITAS COM AÇÕES TÍPICAS DE MDE</t>
  </si>
  <si>
    <t>DESPESAS COM AÇÕES TÍPICAS DE MDE</t>
  </si>
  <si>
    <t>FLUXO FINANCEIRO DOS RECURSOS</t>
  </si>
  <si>
    <t>FUNDEF</t>
  </si>
  <si>
    <t>FUNDEB
(h)</t>
  </si>
  <si>
    <r>
      <t>3</t>
    </r>
    <r>
      <rPr>
        <sz val="8"/>
        <rFont val="Times New Roman"/>
        <family val="1"/>
      </rPr>
      <t xml:space="preserve"> Caput do artigo 212 da CF/1988</t>
    </r>
  </si>
  <si>
    <r>
      <t>4</t>
    </r>
    <r>
      <rPr>
        <sz val="8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</si>
  <si>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t xml:space="preserve">        1.1.5- (–) Deduções da Receita do IPTU</t>
  </si>
  <si>
    <t xml:space="preserve">        1.2.5- (–) Deduções da Receita do ITBI</t>
  </si>
  <si>
    <t xml:space="preserve">        1.3.5- (–) Deduções da Receita do ISS</t>
  </si>
  <si>
    <r>
      <t xml:space="preserve">    1.5- Receita Resultante do Imposto Territorial Rural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</si>
  <si>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8"/>
        <rFont val="Times New Roman"/>
        <family val="1"/>
      </rPr>
      <t>ITR</t>
    </r>
  </si>
  <si>
    <r>
      <t xml:space="preserve">        1.5.2- </t>
    </r>
    <r>
      <rPr>
        <sz val="8"/>
        <rFont val="Times New Roman"/>
        <family val="1"/>
      </rPr>
      <t>Multas, Juros de Mora e Outros Encargos do ITR</t>
    </r>
  </si>
  <si>
    <r>
      <t xml:space="preserve">        1.5.3- </t>
    </r>
    <r>
      <rPr>
        <sz val="8"/>
        <rFont val="Times New Roman"/>
        <family val="1"/>
      </rPr>
      <t>Dívida Ativa do ITR</t>
    </r>
  </si>
  <si>
    <r>
      <t xml:space="preserve">        1.5.4- </t>
    </r>
    <r>
      <rPr>
        <sz val="8"/>
        <rFont val="Times New Roman"/>
        <family val="1"/>
      </rPr>
      <t>Multas, Juros de Mora, Atualização Monetária e Outros Encargos da Dívida Ativa do ITR</t>
    </r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</si>
  <si>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</si>
  <si>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</si>
  <si>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</si>
  <si>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</si>
  <si>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</si>
  <si>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</si>
  <si>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</si>
  <si>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</si>
  <si>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</si>
  <si>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</si>
  <si>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</si>
  <si>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</si>
  <si>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2.1.1- Parcela referente à CF, art. 159, I, alínea b</t>
  </si>
  <si>
    <t xml:space="preserve">        2.1.2- Parcela referente à CF, art. 159, I, alínea d</t>
  </si>
  <si>
    <t>RECEITAS ADICIONAIS PARA FINANCIAMENTO DO ENSINO</t>
  </si>
  <si>
    <t>DEDUÇÕES PARA FINS DE LIMITE DO FUNDEB PARA PAGAMENTO DOS PROFISSIONAIS DO MAGISTÉRIO</t>
  </si>
  <si>
    <t>CONTROLE DA UTILIZAÇÃO DE RECURSOS NO EXERCÍCIO SUBSEQÜENTE</t>
  </si>
  <si>
    <t>MANUTENÇÃO E DESENVOLVIMENTO DO ENSINO – DESPESAS CUSTEADAS COM A RECEITA RESULTANTE DE IMPOSTOS E RECURSOS DO FUNDEB</t>
  </si>
  <si>
    <t>DEDUÇÕES CONSIDERADAS PARA FINS DE LIMITE CONSTITUCIONAL</t>
  </si>
  <si>
    <t>OUTRAS INFORMAÇÕES PARA CONTROLE</t>
  </si>
  <si>
    <t>OUTRAS DESPESAS CUSTEADAS COM RECEITAS ADICIONAIS PARA FINANCIAMENTO DO ENSINO</t>
  </si>
  <si>
    <r>
      <t>2</t>
    </r>
    <r>
      <rPr>
        <sz val="8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
   utilizados no 1º trimestre do exercício imediatamente subseqüente, mediante abertura de crédito adicional.”</t>
    </r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</si>
  <si>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</si>
  <si>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</si>
  <si>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</si>
  <si>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</si>
  <si>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</si>
  <si>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</si>
  <si>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No Bimestre</t>
  </si>
  <si>
    <t>%</t>
  </si>
  <si>
    <t>Até o Bimestre</t>
  </si>
  <si>
    <t>(a)</t>
  </si>
  <si>
    <t>(b)</t>
  </si>
  <si>
    <t>DOTAÇÃO</t>
  </si>
  <si>
    <t xml:space="preserve">        1.5.5- (–) Deduções da Receita do ITR</t>
  </si>
  <si>
    <r>
      <t xml:space="preserve">        1.4.1- </t>
    </r>
    <r>
      <rPr>
        <sz val="8"/>
        <rFont val="Times New Roman"/>
        <family val="1"/>
      </rPr>
      <t>IRRF</t>
    </r>
  </si>
  <si>
    <r>
      <t xml:space="preserve">        1.4.2- </t>
    </r>
    <r>
      <rPr>
        <sz val="8"/>
        <rFont val="Times New Roman"/>
        <family val="1"/>
      </rPr>
      <t>Multas, Juros de Mora e Outros Encargos do IRRF</t>
    </r>
  </si>
  <si>
    <r>
      <t xml:space="preserve">        1.4.3- </t>
    </r>
    <r>
      <rPr>
        <sz val="8"/>
        <rFont val="Times New Roman"/>
        <family val="1"/>
      </rPr>
      <t>Dívida Ativa do IRRF</t>
    </r>
  </si>
  <si>
    <r>
      <t xml:space="preserve">        1.4.4- </t>
    </r>
    <r>
      <rPr>
        <sz val="8"/>
        <rFont val="Times New Roman"/>
        <family val="1"/>
      </rPr>
      <t>Multas, Juros de Mora, Atualização Monetária e Outros Encargos da Dívida Ativa do IRRF</t>
    </r>
  </si>
  <si>
    <t>4- RECEITA DA APLICAÇÃO FINANCEIRA DE OUTROS RECURSOS DE IMPOSTOS VINCULADOS AO ENSINO</t>
  </si>
  <si>
    <t>20 – RECURSOS RECEBIDOS DO FUNDEB EM 2008, QUE NÃO FORAM UTILIZADOS</t>
  </si>
  <si>
    <t>21 – DESPESAS CUSTEADAS COM O SALDO DO ITEM 20 ATÉ O 1º TRIMESTRE DE 2009</t>
  </si>
  <si>
    <t>CANCELADO EM 2009 (g)</t>
  </si>
  <si>
    <r>
      <t xml:space="preserve">40- </t>
    </r>
    <r>
      <rPr>
        <sz val="8"/>
        <color indexed="8"/>
        <rFont val="Times New Roman"/>
        <family val="1"/>
      </rPr>
      <t>DESPESAS CUSTEADAS COM A</t>
    </r>
    <r>
      <rPr>
        <sz val="8"/>
        <rFont val="Times New Roman"/>
        <family val="1"/>
      </rPr>
      <t xml:space="preserve"> APLICAÇÃO FINANCEIRA DE OUTROS RECURSOS DE IMPOSTOS VINCULADOS AO ENSINO</t>
    </r>
  </si>
  <si>
    <t>47- SALDO FINANCEIRO EM 31 DE DEZEMBRO DE 2008</t>
  </si>
  <si>
    <t>CLEONE GOMES DO NASCIMENTO                                                                    ALEXANDER FERRÃO</t>
  </si>
  <si>
    <t>NEILA BISSOLI</t>
  </si>
  <si>
    <t>Contadora CRC-ES n° 011102/O-9</t>
  </si>
  <si>
    <t>9 - TOTAL DAS RECEITAS ADICIONAIS PARA FINANCIAMENTO DO ENSINO (4 + 5 + 6 + 7 + 8)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</si>
  <si>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</si>
  <si>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</si>
  <si>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</si>
  <si>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</si>
  <si>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</si>
  <si>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</si>
  <si>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</si>
  <si>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</si>
  <si>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</si>
  <si>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</si>
  <si>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</si>
  <si>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</si>
  <si>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</si>
  <si>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</si>
  <si>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PREFEITURA MUNICIPAL DE CASTELO - ES</t>
  </si>
  <si>
    <t>Prefeito Municipal                                                                                   Secretário Municipal de Finanças</t>
  </si>
  <si>
    <r>
      <t>39- MÍNIMO DE 25% DAS RECEITAS RESULTANTES DE IMPOSTOS EM MDE</t>
    </r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((38) / (3) x 100) %</t>
    </r>
  </si>
  <si>
    <r>
      <t>19- MÍNIMO DE 60% DO FUNDEB NA REMUNERAÇÃO DO MAGISTÉRIO COM EDUCAÇÃO INFANTIL E ENSINO FUNDAMENTAL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((13 – 18) / (11) x 100) %</t>
    </r>
  </si>
  <si>
    <t>21° BIMESTRE DE 2009 - MARÇO E ABRIL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</si>
</sst>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i/>
      <sz val="8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8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64" fontId="4" fillId="0" borderId="12" xfId="0" applyNumberFormat="1" applyFont="1" applyFill="1" applyBorder="1" applyAlignment="1">
      <alignment horizontal="right" vertical="top" wrapText="1"/>
    </xf>
    <xf numFmtId="164" fontId="4" fillId="0" borderId="8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8" fillId="0" borderId="4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4" fillId="0" borderId="4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164" fontId="4" fillId="0" borderId="13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4" fillId="0" borderId="14" xfId="0" applyNumberFormat="1" applyFont="1" applyBorder="1" applyAlignment="1">
      <alignment horizontal="right" vertical="top" wrapText="1"/>
    </xf>
    <xf numFmtId="164" fontId="4" fillId="0" borderId="6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164" fontId="4" fillId="0" borderId="7" xfId="0" applyNumberFormat="1" applyFont="1" applyFill="1" applyBorder="1" applyAlignment="1">
      <alignment horizontal="right" vertical="top" wrapText="1"/>
    </xf>
    <xf numFmtId="164" fontId="4" fillId="0" borderId="8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4" fillId="0" borderId="14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164" fontId="4" fillId="0" borderId="5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4" xfId="0" applyFont="1" applyBorder="1" applyAlignment="1">
      <alignment horizontal="left" vertical="top" wrapText="1"/>
    </xf>
    <xf numFmtId="164" fontId="4" fillId="0" borderId="13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wrapText="1"/>
    </xf>
    <xf numFmtId="43" fontId="4" fillId="0" borderId="0" xfId="20" applyFont="1" applyFill="1" applyAlignment="1">
      <alignment/>
    </xf>
    <xf numFmtId="43" fontId="4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right" vertical="top" wrapText="1"/>
    </xf>
    <xf numFmtId="164" fontId="4" fillId="0" borderId="7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/>
    </xf>
    <xf numFmtId="0" fontId="4" fillId="0" borderId="6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164" fontId="4" fillId="0" borderId="12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 vertical="top" wrapText="1"/>
    </xf>
    <xf numFmtId="164" fontId="0" fillId="0" borderId="15" xfId="0" applyNumberForma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horizontal="right" vertical="top" wrapText="1"/>
    </xf>
    <xf numFmtId="164" fontId="4" fillId="0" borderId="6" xfId="0" applyNumberFormat="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0" fillId="0" borderId="2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2" fontId="13" fillId="0" borderId="1" xfId="0" applyNumberFormat="1" applyFont="1" applyFill="1" applyBorder="1" applyAlignment="1">
      <alignment horizontal="right" vertical="top" wrapText="1"/>
    </xf>
    <xf numFmtId="2" fontId="13" fillId="0" borderId="15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Alignment="1">
      <alignment/>
    </xf>
    <xf numFmtId="164" fontId="4" fillId="0" borderId="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showGridLines="0" tabSelected="1" workbookViewId="0" topLeftCell="A1">
      <selection activeCell="E101" sqref="E101:F101"/>
    </sheetView>
  </sheetViews>
  <sheetFormatPr defaultColWidth="9.140625" defaultRowHeight="11.25" customHeight="1"/>
  <cols>
    <col min="1" max="1" width="75.28125" style="21" customWidth="1"/>
    <col min="2" max="6" width="11.421875" style="21" customWidth="1"/>
    <col min="7" max="7" width="12.00390625" style="21" bestFit="1" customWidth="1"/>
    <col min="8" max="8" width="10.8515625" style="21" bestFit="1" customWidth="1"/>
    <col min="9" max="10" width="10.00390625" style="21" bestFit="1" customWidth="1"/>
    <col min="11" max="16384" width="9.140625" style="21" customWidth="1"/>
  </cols>
  <sheetData>
    <row r="1" spans="1:6" s="7" customFormat="1" ht="11.25" customHeight="1">
      <c r="A1" s="137" t="s">
        <v>161</v>
      </c>
      <c r="B1" s="137"/>
      <c r="C1" s="137"/>
      <c r="D1" s="137"/>
      <c r="E1" s="137"/>
      <c r="F1" s="137"/>
    </row>
    <row r="2" spans="1:6" s="7" customFormat="1" ht="11.25" customHeight="1">
      <c r="A2" s="138" t="s">
        <v>120</v>
      </c>
      <c r="B2" s="138"/>
      <c r="C2" s="138"/>
      <c r="D2" s="138"/>
      <c r="E2" s="138"/>
      <c r="F2" s="138"/>
    </row>
    <row r="3" spans="1:6" s="7" customFormat="1" ht="11.25" customHeight="1">
      <c r="A3" s="102" t="s">
        <v>76</v>
      </c>
      <c r="B3" s="102"/>
      <c r="C3" s="102"/>
      <c r="D3" s="102"/>
      <c r="E3" s="102"/>
      <c r="F3" s="102"/>
    </row>
    <row r="4" spans="1:6" s="7" customFormat="1" ht="11.25" customHeight="1">
      <c r="A4" s="138" t="s">
        <v>121</v>
      </c>
      <c r="B4" s="138"/>
      <c r="C4" s="138"/>
      <c r="D4" s="138"/>
      <c r="E4" s="138"/>
      <c r="F4" s="138"/>
    </row>
    <row r="5" spans="1:6" s="7" customFormat="1" ht="11.25" customHeight="1">
      <c r="A5" s="138" t="s">
        <v>165</v>
      </c>
      <c r="B5" s="138"/>
      <c r="C5" s="138"/>
      <c r="D5" s="138"/>
      <c r="E5" s="138"/>
      <c r="F5" s="138"/>
    </row>
    <row r="6" spans="1:6" s="7" customFormat="1" ht="11.25" customHeight="1">
      <c r="A6" s="7" t="s">
        <v>78</v>
      </c>
      <c r="B6" s="2"/>
      <c r="C6" s="2"/>
      <c r="D6" s="2"/>
      <c r="E6" s="2"/>
      <c r="F6" s="1">
        <v>1</v>
      </c>
    </row>
    <row r="7" spans="1:6" s="7" customFormat="1" ht="34.5" customHeight="1">
      <c r="A7" s="119" t="s">
        <v>51</v>
      </c>
      <c r="B7" s="120"/>
      <c r="C7" s="120"/>
      <c r="D7" s="120"/>
      <c r="E7" s="120"/>
      <c r="F7" s="120"/>
    </row>
    <row r="8" spans="1:6" s="7" customFormat="1" ht="11.25" customHeight="1">
      <c r="A8" s="10"/>
      <c r="B8" s="14" t="s">
        <v>122</v>
      </c>
      <c r="C8" s="14" t="s">
        <v>122</v>
      </c>
      <c r="D8" s="118" t="s">
        <v>123</v>
      </c>
      <c r="E8" s="118"/>
      <c r="F8" s="118"/>
    </row>
    <row r="9" spans="1:6" s="7" customFormat="1" ht="11.25" customHeight="1">
      <c r="A9" s="19" t="s">
        <v>79</v>
      </c>
      <c r="B9" s="15" t="s">
        <v>124</v>
      </c>
      <c r="C9" s="15" t="s">
        <v>125</v>
      </c>
      <c r="D9" s="14" t="s">
        <v>126</v>
      </c>
      <c r="E9" s="14" t="s">
        <v>128</v>
      </c>
      <c r="F9" s="20" t="s">
        <v>127</v>
      </c>
    </row>
    <row r="10" spans="1:6" s="7" customFormat="1" ht="11.25" customHeight="1">
      <c r="A10" s="11"/>
      <c r="B10" s="16"/>
      <c r="C10" s="17" t="s">
        <v>129</v>
      </c>
      <c r="D10" s="16"/>
      <c r="E10" s="17" t="s">
        <v>130</v>
      </c>
      <c r="F10" s="13" t="s">
        <v>52</v>
      </c>
    </row>
    <row r="11" spans="1:6" s="7" customFormat="1" ht="11.25" customHeight="1">
      <c r="A11" s="32" t="s">
        <v>53</v>
      </c>
      <c r="B11" s="41">
        <f>B12+B18+B24+B30+B36</f>
        <v>3106200</v>
      </c>
      <c r="C11" s="41">
        <f>C12+C18+C24+C30+C36</f>
        <v>3106200</v>
      </c>
      <c r="D11" s="41">
        <f>D12+D18+D24+D30+D36</f>
        <v>322784.42</v>
      </c>
      <c r="E11" s="41">
        <f>E12+E18+E24+E30+E36</f>
        <v>595758.53</v>
      </c>
      <c r="F11" s="42">
        <f>E11/C11*100</f>
        <v>19.17965778121177</v>
      </c>
    </row>
    <row r="12" spans="1:6" s="7" customFormat="1" ht="11.25" customHeight="1">
      <c r="A12" s="33" t="s">
        <v>62</v>
      </c>
      <c r="B12" s="41">
        <f>SUM(B13:B16)-B17</f>
        <v>812000</v>
      </c>
      <c r="C12" s="41">
        <f>SUM(C13:C16)-C17</f>
        <v>812000</v>
      </c>
      <c r="D12" s="41">
        <f>SUM(D13:D16)-D17</f>
        <v>29120.11</v>
      </c>
      <c r="E12" s="41">
        <f>SUM(E13:E16)-E17</f>
        <v>44776.94</v>
      </c>
      <c r="F12" s="42">
        <f aca="true" t="shared" si="0" ref="F12:F52">E12/C12*100</f>
        <v>5.5144014778325126</v>
      </c>
    </row>
    <row r="13" spans="1:6" s="7" customFormat="1" ht="11.25" customHeight="1">
      <c r="A13" s="33" t="s">
        <v>98</v>
      </c>
      <c r="B13" s="41">
        <v>575000</v>
      </c>
      <c r="C13" s="41">
        <v>575000</v>
      </c>
      <c r="D13" s="41">
        <v>9.18</v>
      </c>
      <c r="E13" s="41">
        <v>1327.59</v>
      </c>
      <c r="F13" s="42">
        <f t="shared" si="0"/>
        <v>0.23088521739130433</v>
      </c>
    </row>
    <row r="14" spans="1:6" s="7" customFormat="1" ht="11.25" customHeight="1">
      <c r="A14" s="33" t="s">
        <v>99</v>
      </c>
      <c r="B14" s="41">
        <v>2000</v>
      </c>
      <c r="C14" s="41">
        <v>2000</v>
      </c>
      <c r="D14" s="41">
        <v>0.9</v>
      </c>
      <c r="E14" s="41">
        <v>87.96</v>
      </c>
      <c r="F14" s="42">
        <f t="shared" si="0"/>
        <v>4.398</v>
      </c>
    </row>
    <row r="15" spans="1:6" s="7" customFormat="1" ht="11.25" customHeight="1">
      <c r="A15" s="33" t="s">
        <v>100</v>
      </c>
      <c r="B15" s="41">
        <v>200000</v>
      </c>
      <c r="C15" s="41">
        <v>200000</v>
      </c>
      <c r="D15" s="41">
        <v>23726.27</v>
      </c>
      <c r="E15" s="41">
        <v>36329.2</v>
      </c>
      <c r="F15" s="42">
        <f t="shared" si="0"/>
        <v>18.164599999999997</v>
      </c>
    </row>
    <row r="16" spans="1:6" s="7" customFormat="1" ht="11.25" customHeight="1">
      <c r="A16" s="33" t="s">
        <v>101</v>
      </c>
      <c r="B16" s="41">
        <v>35000</v>
      </c>
      <c r="C16" s="41">
        <v>35000</v>
      </c>
      <c r="D16" s="41">
        <v>5383.76</v>
      </c>
      <c r="E16" s="41">
        <v>7032.19</v>
      </c>
      <c r="F16" s="42">
        <f t="shared" si="0"/>
        <v>20.09197142857143</v>
      </c>
    </row>
    <row r="17" spans="1:6" s="7" customFormat="1" ht="11.25" customHeight="1">
      <c r="A17" s="33" t="s">
        <v>90</v>
      </c>
      <c r="B17" s="41">
        <v>0</v>
      </c>
      <c r="C17" s="41">
        <v>0</v>
      </c>
      <c r="D17" s="41">
        <v>0</v>
      </c>
      <c r="E17" s="41">
        <v>0</v>
      </c>
      <c r="F17" s="42">
        <v>0</v>
      </c>
    </row>
    <row r="18" spans="1:6" s="7" customFormat="1" ht="11.25" customHeight="1">
      <c r="A18" s="33" t="s">
        <v>63</v>
      </c>
      <c r="B18" s="41">
        <f>SUM(B19:B22)-B23</f>
        <v>482500</v>
      </c>
      <c r="C18" s="41">
        <f>SUM(C19:C22)-C23</f>
        <v>482500</v>
      </c>
      <c r="D18" s="41">
        <f>SUM(D19:D22)-D23</f>
        <v>47524.57</v>
      </c>
      <c r="E18" s="41">
        <f>SUM(E19:E22)-E23</f>
        <v>105747.8</v>
      </c>
      <c r="F18" s="42">
        <f t="shared" si="0"/>
        <v>21.916642487046634</v>
      </c>
    </row>
    <row r="19" spans="1:6" s="7" customFormat="1" ht="11.25" customHeight="1">
      <c r="A19" s="33" t="s">
        <v>102</v>
      </c>
      <c r="B19" s="41">
        <v>480000</v>
      </c>
      <c r="C19" s="41">
        <v>480000</v>
      </c>
      <c r="D19" s="41">
        <v>47524.57</v>
      </c>
      <c r="E19" s="41">
        <v>105747.8</v>
      </c>
      <c r="F19" s="42">
        <f t="shared" si="0"/>
        <v>22.03079166666667</v>
      </c>
    </row>
    <row r="20" spans="1:6" s="7" customFormat="1" ht="11.25" customHeight="1">
      <c r="A20" s="33" t="s">
        <v>103</v>
      </c>
      <c r="B20" s="41">
        <v>500</v>
      </c>
      <c r="C20" s="41">
        <v>500</v>
      </c>
      <c r="D20" s="41">
        <v>0</v>
      </c>
      <c r="E20" s="41">
        <v>0</v>
      </c>
      <c r="F20" s="42">
        <f t="shared" si="0"/>
        <v>0</v>
      </c>
    </row>
    <row r="21" spans="1:6" s="7" customFormat="1" ht="11.25" customHeight="1">
      <c r="A21" s="33" t="s">
        <v>104</v>
      </c>
      <c r="B21" s="41">
        <v>1000</v>
      </c>
      <c r="C21" s="41">
        <v>1000</v>
      </c>
      <c r="D21" s="41">
        <v>0</v>
      </c>
      <c r="E21" s="41">
        <v>0</v>
      </c>
      <c r="F21" s="42">
        <f t="shared" si="0"/>
        <v>0</v>
      </c>
    </row>
    <row r="22" spans="1:6" s="7" customFormat="1" ht="11.25" customHeight="1">
      <c r="A22" s="33" t="s">
        <v>105</v>
      </c>
      <c r="B22" s="41">
        <v>1000</v>
      </c>
      <c r="C22" s="41">
        <v>1000</v>
      </c>
      <c r="D22" s="41">
        <v>0</v>
      </c>
      <c r="E22" s="41">
        <v>0</v>
      </c>
      <c r="F22" s="42">
        <f t="shared" si="0"/>
        <v>0</v>
      </c>
    </row>
    <row r="23" spans="1:6" s="7" customFormat="1" ht="11.25" customHeight="1">
      <c r="A23" s="33" t="s">
        <v>91</v>
      </c>
      <c r="B23" s="41">
        <v>0</v>
      </c>
      <c r="C23" s="41">
        <v>0</v>
      </c>
      <c r="D23" s="41">
        <v>0</v>
      </c>
      <c r="E23" s="41">
        <v>0</v>
      </c>
      <c r="F23" s="42">
        <v>0</v>
      </c>
    </row>
    <row r="24" spans="1:6" s="7" customFormat="1" ht="11.25" customHeight="1">
      <c r="A24" s="33" t="s">
        <v>64</v>
      </c>
      <c r="B24" s="41">
        <f>SUM(B25:B28)-B29</f>
        <v>1459700</v>
      </c>
      <c r="C24" s="41">
        <f>SUM(C25:C28)-C29</f>
        <v>1459700</v>
      </c>
      <c r="D24" s="41">
        <f>SUM(D25:D28)-D29</f>
        <v>217516.37</v>
      </c>
      <c r="E24" s="41">
        <f>SUM(E25:E28)-E29</f>
        <v>380585.29</v>
      </c>
      <c r="F24" s="42">
        <f t="shared" si="0"/>
        <v>26.072843049941767</v>
      </c>
    </row>
    <row r="25" spans="1:6" s="7" customFormat="1" ht="11.25" customHeight="1">
      <c r="A25" s="33" t="s">
        <v>106</v>
      </c>
      <c r="B25" s="41">
        <v>1400000</v>
      </c>
      <c r="C25" s="41">
        <v>1400000</v>
      </c>
      <c r="D25" s="41">
        <v>212578.78</v>
      </c>
      <c r="E25" s="41">
        <v>371108.72</v>
      </c>
      <c r="F25" s="42">
        <f t="shared" si="0"/>
        <v>26.507765714285714</v>
      </c>
    </row>
    <row r="26" spans="1:6" s="7" customFormat="1" ht="11.25" customHeight="1">
      <c r="A26" s="33" t="s">
        <v>107</v>
      </c>
      <c r="B26" s="41">
        <v>8700</v>
      </c>
      <c r="C26" s="41">
        <v>8700</v>
      </c>
      <c r="D26" s="41">
        <v>866.33</v>
      </c>
      <c r="E26" s="41">
        <v>1784.19</v>
      </c>
      <c r="F26" s="42">
        <f t="shared" si="0"/>
        <v>20.50793103448276</v>
      </c>
    </row>
    <row r="27" spans="1:6" s="7" customFormat="1" ht="11.25" customHeight="1">
      <c r="A27" s="33" t="s">
        <v>108</v>
      </c>
      <c r="B27" s="41">
        <v>45000</v>
      </c>
      <c r="C27" s="41">
        <v>45000</v>
      </c>
      <c r="D27" s="41">
        <v>3438.91</v>
      </c>
      <c r="E27" s="41">
        <v>6356.03</v>
      </c>
      <c r="F27" s="42">
        <f t="shared" si="0"/>
        <v>14.12451111111111</v>
      </c>
    </row>
    <row r="28" spans="1:6" s="7" customFormat="1" ht="11.25" customHeight="1">
      <c r="A28" s="33" t="s">
        <v>109</v>
      </c>
      <c r="B28" s="41">
        <v>6000</v>
      </c>
      <c r="C28" s="41">
        <v>6000</v>
      </c>
      <c r="D28" s="41">
        <v>632.35</v>
      </c>
      <c r="E28" s="41">
        <v>1336.35</v>
      </c>
      <c r="F28" s="42">
        <f t="shared" si="0"/>
        <v>22.272499999999997</v>
      </c>
    </row>
    <row r="29" spans="1:6" s="7" customFormat="1" ht="11.25" customHeight="1">
      <c r="A29" s="33" t="s">
        <v>92</v>
      </c>
      <c r="B29" s="41">
        <v>0</v>
      </c>
      <c r="C29" s="41">
        <v>0</v>
      </c>
      <c r="D29" s="41">
        <v>0</v>
      </c>
      <c r="E29" s="41">
        <v>0</v>
      </c>
      <c r="F29" s="42">
        <v>0</v>
      </c>
    </row>
    <row r="30" spans="1:6" s="7" customFormat="1" ht="11.25" customHeight="1">
      <c r="A30" s="32" t="s">
        <v>65</v>
      </c>
      <c r="B30" s="41">
        <f>SUM(B31:B34)-B35</f>
        <v>352000</v>
      </c>
      <c r="C30" s="41">
        <f>SUM(C31:C34)-C35</f>
        <v>352000</v>
      </c>
      <c r="D30" s="41">
        <f>SUM(D31:D34)-D35</f>
        <v>28623.37</v>
      </c>
      <c r="E30" s="41">
        <f>SUM(E31:E34)-E35</f>
        <v>64648.5</v>
      </c>
      <c r="F30" s="42">
        <f t="shared" si="0"/>
        <v>18.366051136363637</v>
      </c>
    </row>
    <row r="31" spans="1:6" s="7" customFormat="1" ht="11.25" customHeight="1">
      <c r="A31" s="33" t="s">
        <v>133</v>
      </c>
      <c r="B31" s="41">
        <v>352000</v>
      </c>
      <c r="C31" s="41">
        <v>352000</v>
      </c>
      <c r="D31" s="41">
        <v>28623.37</v>
      </c>
      <c r="E31" s="41">
        <v>64648.5</v>
      </c>
      <c r="F31" s="42">
        <f t="shared" si="0"/>
        <v>18.366051136363637</v>
      </c>
    </row>
    <row r="32" spans="1:6" s="7" customFormat="1" ht="11.25" customHeight="1">
      <c r="A32" s="33" t="s">
        <v>134</v>
      </c>
      <c r="B32" s="41">
        <v>0</v>
      </c>
      <c r="C32" s="41">
        <v>0</v>
      </c>
      <c r="D32" s="41">
        <v>0</v>
      </c>
      <c r="E32" s="41">
        <v>0</v>
      </c>
      <c r="F32" s="42">
        <v>0</v>
      </c>
    </row>
    <row r="33" spans="1:6" s="7" customFormat="1" ht="11.25" customHeight="1">
      <c r="A33" s="33" t="s">
        <v>135</v>
      </c>
      <c r="B33" s="41">
        <v>0</v>
      </c>
      <c r="C33" s="41">
        <v>0</v>
      </c>
      <c r="D33" s="41">
        <v>0</v>
      </c>
      <c r="E33" s="41">
        <v>0</v>
      </c>
      <c r="F33" s="42">
        <v>0</v>
      </c>
    </row>
    <row r="34" spans="1:6" s="7" customFormat="1" ht="11.25" customHeight="1">
      <c r="A34" s="33" t="s">
        <v>136</v>
      </c>
      <c r="B34" s="41">
        <v>0</v>
      </c>
      <c r="C34" s="41">
        <v>0</v>
      </c>
      <c r="D34" s="41">
        <v>0</v>
      </c>
      <c r="E34" s="41">
        <v>0</v>
      </c>
      <c r="F34" s="42">
        <v>0</v>
      </c>
    </row>
    <row r="35" spans="1:6" s="7" customFormat="1" ht="11.25" customHeight="1">
      <c r="A35" s="33" t="s">
        <v>80</v>
      </c>
      <c r="B35" s="41">
        <v>0</v>
      </c>
      <c r="C35" s="41">
        <v>0</v>
      </c>
      <c r="D35" s="41">
        <v>0</v>
      </c>
      <c r="E35" s="41">
        <v>0</v>
      </c>
      <c r="F35" s="42">
        <v>0</v>
      </c>
    </row>
    <row r="36" spans="1:6" s="7" customFormat="1" ht="11.25" customHeight="1">
      <c r="A36" s="32" t="s">
        <v>93</v>
      </c>
      <c r="B36" s="43">
        <f>SUM(B37:B40)-B41</f>
        <v>0</v>
      </c>
      <c r="C36" s="43">
        <f>SUM(C37:C40)-C41</f>
        <v>0</v>
      </c>
      <c r="D36" s="43">
        <f>SUM(D37:D40)-D41</f>
        <v>0</v>
      </c>
      <c r="E36" s="43">
        <f>SUM(E37:E40)-E41</f>
        <v>0</v>
      </c>
      <c r="F36" s="42">
        <v>0</v>
      </c>
    </row>
    <row r="37" spans="1:6" s="7" customFormat="1" ht="11.25" customHeight="1">
      <c r="A37" s="33" t="s">
        <v>94</v>
      </c>
      <c r="B37" s="41">
        <v>0</v>
      </c>
      <c r="C37" s="41">
        <v>0</v>
      </c>
      <c r="D37" s="41">
        <v>0</v>
      </c>
      <c r="E37" s="41">
        <v>0</v>
      </c>
      <c r="F37" s="42">
        <v>0</v>
      </c>
    </row>
    <row r="38" spans="1:6" s="7" customFormat="1" ht="11.25" customHeight="1">
      <c r="A38" s="33" t="s">
        <v>95</v>
      </c>
      <c r="B38" s="43">
        <v>0</v>
      </c>
      <c r="C38" s="43">
        <v>0</v>
      </c>
      <c r="D38" s="43">
        <v>0</v>
      </c>
      <c r="E38" s="43">
        <v>0</v>
      </c>
      <c r="F38" s="42">
        <v>0</v>
      </c>
    </row>
    <row r="39" spans="1:6" s="7" customFormat="1" ht="11.25" customHeight="1">
      <c r="A39" s="33" t="s">
        <v>96</v>
      </c>
      <c r="B39" s="43">
        <v>0</v>
      </c>
      <c r="C39" s="43">
        <v>0</v>
      </c>
      <c r="D39" s="43">
        <v>0</v>
      </c>
      <c r="E39" s="43">
        <v>0</v>
      </c>
      <c r="F39" s="42">
        <v>0</v>
      </c>
    </row>
    <row r="40" spans="1:6" s="7" customFormat="1" ht="11.25" customHeight="1">
      <c r="A40" s="33" t="s">
        <v>97</v>
      </c>
      <c r="B40" s="43">
        <v>0</v>
      </c>
      <c r="C40" s="43">
        <v>0</v>
      </c>
      <c r="D40" s="43">
        <v>0</v>
      </c>
      <c r="E40" s="43">
        <v>0</v>
      </c>
      <c r="F40" s="42">
        <v>0</v>
      </c>
    </row>
    <row r="41" spans="1:6" s="7" customFormat="1" ht="11.25" customHeight="1">
      <c r="A41" s="33" t="s">
        <v>132</v>
      </c>
      <c r="B41" s="43">
        <v>0</v>
      </c>
      <c r="C41" s="43">
        <v>0</v>
      </c>
      <c r="D41" s="43">
        <v>0</v>
      </c>
      <c r="E41" s="43">
        <v>0</v>
      </c>
      <c r="F41" s="42">
        <v>0</v>
      </c>
    </row>
    <row r="42" spans="1:6" s="7" customFormat="1" ht="11.25" customHeight="1">
      <c r="A42" s="32" t="s">
        <v>81</v>
      </c>
      <c r="B42" s="43">
        <f>B43+B46+B47+B48+B49+B50+B51</f>
        <v>35198000</v>
      </c>
      <c r="C42" s="43">
        <f>C43+C46+C47+C48+C49+C50+C51</f>
        <v>35198000</v>
      </c>
      <c r="D42" s="43">
        <f>D43+D46+D47+D48+D49+D50+D51</f>
        <v>5014521.96</v>
      </c>
      <c r="E42" s="43">
        <f>E43+E46+E47+E48+E49+E50+E51</f>
        <v>10263585.399999999</v>
      </c>
      <c r="F42" s="42">
        <f t="shared" si="0"/>
        <v>29.159569861923966</v>
      </c>
    </row>
    <row r="43" spans="1:6" s="7" customFormat="1" ht="11.25" customHeight="1">
      <c r="A43" s="32" t="s">
        <v>66</v>
      </c>
      <c r="B43" s="43">
        <f>B44+B45</f>
        <v>13400000</v>
      </c>
      <c r="C43" s="43">
        <f>C44+C45</f>
        <v>13400000</v>
      </c>
      <c r="D43" s="43">
        <f>D44+D45</f>
        <v>1684766.41</v>
      </c>
      <c r="E43" s="43">
        <f>E44+E45</f>
        <v>3676602.25</v>
      </c>
      <c r="F43" s="42">
        <f t="shared" si="0"/>
        <v>27.437330223880597</v>
      </c>
    </row>
    <row r="44" spans="1:6" s="7" customFormat="1" ht="11.25" customHeight="1">
      <c r="A44" s="32" t="s">
        <v>110</v>
      </c>
      <c r="B44" s="43">
        <v>13400000</v>
      </c>
      <c r="C44" s="43">
        <v>13400000</v>
      </c>
      <c r="D44" s="43">
        <v>1684766.41</v>
      </c>
      <c r="E44" s="43">
        <v>3676602.25</v>
      </c>
      <c r="F44" s="42">
        <f t="shared" si="0"/>
        <v>27.437330223880597</v>
      </c>
    </row>
    <row r="45" spans="1:6" s="7" customFormat="1" ht="11.25" customHeight="1">
      <c r="A45" s="110" t="s">
        <v>111</v>
      </c>
      <c r="B45" s="43">
        <v>0</v>
      </c>
      <c r="C45" s="43">
        <v>0</v>
      </c>
      <c r="D45" s="43">
        <v>0</v>
      </c>
      <c r="E45" s="43">
        <v>0</v>
      </c>
      <c r="F45" s="42">
        <v>0</v>
      </c>
    </row>
    <row r="46" spans="1:6" s="7" customFormat="1" ht="11.25" customHeight="1">
      <c r="A46" s="32" t="s">
        <v>67</v>
      </c>
      <c r="B46" s="43">
        <f>13300000+6200000</f>
        <v>19500000</v>
      </c>
      <c r="C46" s="43">
        <f>13300000+6200000</f>
        <v>19500000</v>
      </c>
      <c r="D46" s="43">
        <f>1852622.21+857855.77</f>
        <v>2710477.98</v>
      </c>
      <c r="E46" s="43">
        <f>3877019.02+1916472.68</f>
        <v>5793491.7</v>
      </c>
      <c r="F46" s="42">
        <f t="shared" si="0"/>
        <v>29.71021384615385</v>
      </c>
    </row>
    <row r="47" spans="1:6" s="7" customFormat="1" ht="11.25" customHeight="1">
      <c r="A47" s="32" t="s">
        <v>68</v>
      </c>
      <c r="B47" s="43">
        <v>230000</v>
      </c>
      <c r="C47" s="43">
        <v>230000</v>
      </c>
      <c r="D47" s="43">
        <v>35713.3</v>
      </c>
      <c r="E47" s="43">
        <v>71426.6</v>
      </c>
      <c r="F47" s="42">
        <f t="shared" si="0"/>
        <v>31.055043478260874</v>
      </c>
    </row>
    <row r="48" spans="1:6" s="7" customFormat="1" ht="11.25" customHeight="1">
      <c r="A48" s="32" t="s">
        <v>69</v>
      </c>
      <c r="B48" s="41">
        <v>460000</v>
      </c>
      <c r="C48" s="41">
        <v>460000</v>
      </c>
      <c r="D48" s="41">
        <v>41947.45</v>
      </c>
      <c r="E48" s="41">
        <v>99955.85</v>
      </c>
      <c r="F48" s="42">
        <f t="shared" si="0"/>
        <v>21.729532608695653</v>
      </c>
    </row>
    <row r="49" spans="1:6" s="7" customFormat="1" ht="11.25" customHeight="1">
      <c r="A49" s="32" t="s">
        <v>70</v>
      </c>
      <c r="B49" s="43">
        <v>18000</v>
      </c>
      <c r="C49" s="43">
        <v>18000</v>
      </c>
      <c r="D49" s="43">
        <v>802.24</v>
      </c>
      <c r="E49" s="43">
        <v>1809.97</v>
      </c>
      <c r="F49" s="42">
        <f>E49/C49*100</f>
        <v>10.055388888888888</v>
      </c>
    </row>
    <row r="50" spans="1:6" s="7" customFormat="1" ht="11.25" customHeight="1">
      <c r="A50" s="32" t="s">
        <v>71</v>
      </c>
      <c r="B50" s="41">
        <v>1590000</v>
      </c>
      <c r="C50" s="41">
        <v>1590000</v>
      </c>
      <c r="D50" s="41">
        <v>540814.58</v>
      </c>
      <c r="E50" s="41">
        <v>620299.03</v>
      </c>
      <c r="F50" s="42">
        <f t="shared" si="0"/>
        <v>39.01251761006289</v>
      </c>
    </row>
    <row r="51" spans="1:6" s="7" customFormat="1" ht="11.25" customHeight="1">
      <c r="A51" s="32" t="s">
        <v>72</v>
      </c>
      <c r="B51" s="41">
        <v>0</v>
      </c>
      <c r="C51" s="41">
        <v>0</v>
      </c>
      <c r="D51" s="41">
        <v>0</v>
      </c>
      <c r="E51" s="41">
        <v>0</v>
      </c>
      <c r="F51" s="42">
        <v>0</v>
      </c>
    </row>
    <row r="52" spans="1:6" s="7" customFormat="1" ht="11.25" customHeight="1">
      <c r="A52" s="31" t="s">
        <v>82</v>
      </c>
      <c r="B52" s="44">
        <f>B11+B42</f>
        <v>38304200</v>
      </c>
      <c r="C52" s="44">
        <f>C11+C42</f>
        <v>38304200</v>
      </c>
      <c r="D52" s="44">
        <f>D11+D42</f>
        <v>5337306.38</v>
      </c>
      <c r="E52" s="44">
        <f>E11+E42</f>
        <v>10859343.929999998</v>
      </c>
      <c r="F52" s="45">
        <f t="shared" si="0"/>
        <v>28.350269500472525</v>
      </c>
    </row>
    <row r="53" spans="1:6" s="7" customFormat="1" ht="11.25">
      <c r="A53" s="4"/>
      <c r="B53" s="14" t="s">
        <v>122</v>
      </c>
      <c r="C53" s="14" t="s">
        <v>122</v>
      </c>
      <c r="D53" s="118" t="s">
        <v>123</v>
      </c>
      <c r="E53" s="118"/>
      <c r="F53" s="118"/>
    </row>
    <row r="54" spans="1:6" s="7" customFormat="1" ht="11.25" customHeight="1">
      <c r="A54" s="12" t="s">
        <v>112</v>
      </c>
      <c r="B54" s="15" t="s">
        <v>124</v>
      </c>
      <c r="C54" s="15" t="s">
        <v>125</v>
      </c>
      <c r="D54" s="14" t="s">
        <v>126</v>
      </c>
      <c r="E54" s="14" t="s">
        <v>128</v>
      </c>
      <c r="F54" s="20" t="s">
        <v>127</v>
      </c>
    </row>
    <row r="55" spans="1:6" s="7" customFormat="1" ht="11.25" customHeight="1">
      <c r="A55" s="11"/>
      <c r="B55" s="16"/>
      <c r="C55" s="17" t="s">
        <v>129</v>
      </c>
      <c r="D55" s="16"/>
      <c r="E55" s="17" t="s">
        <v>130</v>
      </c>
      <c r="F55" s="13" t="s">
        <v>52</v>
      </c>
    </row>
    <row r="56" spans="1:6" s="7" customFormat="1" ht="22.5" customHeight="1">
      <c r="A56" s="32" t="s">
        <v>137</v>
      </c>
      <c r="B56" s="70">
        <v>0</v>
      </c>
      <c r="C56" s="70">
        <v>0</v>
      </c>
      <c r="D56" s="98">
        <v>0</v>
      </c>
      <c r="E56" s="98">
        <v>0</v>
      </c>
      <c r="F56" s="73">
        <v>0</v>
      </c>
    </row>
    <row r="57" spans="1:6" s="7" customFormat="1" ht="11.25" customHeight="1">
      <c r="A57" s="32" t="s">
        <v>0</v>
      </c>
      <c r="B57" s="43">
        <f>B58+B59+B60</f>
        <v>1073600</v>
      </c>
      <c r="C57" s="43">
        <f>C58+C59+C60</f>
        <v>1074761.6</v>
      </c>
      <c r="D57" s="43">
        <f>D58+D59+D60</f>
        <v>177821.27000000002</v>
      </c>
      <c r="E57" s="43">
        <f>E58+E59+E60</f>
        <v>315852.38</v>
      </c>
      <c r="F57" s="46">
        <f>E57/C57*100</f>
        <v>29.38813407550102</v>
      </c>
    </row>
    <row r="58" spans="1:6" s="7" customFormat="1" ht="11.25" customHeight="1">
      <c r="A58" s="32" t="s">
        <v>1</v>
      </c>
      <c r="B58" s="43">
        <v>660600</v>
      </c>
      <c r="C58" s="43">
        <v>660600</v>
      </c>
      <c r="D58" s="43">
        <v>105097.16</v>
      </c>
      <c r="E58" s="43">
        <v>240182.5</v>
      </c>
      <c r="F58" s="46">
        <f aca="true" t="shared" si="1" ref="F58:F66">E58/C58*100</f>
        <v>36.35823493793521</v>
      </c>
    </row>
    <row r="59" spans="1:6" s="7" customFormat="1" ht="11.25" customHeight="1">
      <c r="A59" s="32" t="s">
        <v>2</v>
      </c>
      <c r="B59" s="43">
        <f>1060600-B58</f>
        <v>400000</v>
      </c>
      <c r="C59" s="43">
        <f>1061761.6-C58</f>
        <v>401161.6000000001</v>
      </c>
      <c r="D59" s="43">
        <f>175810.67-D58</f>
        <v>70713.51000000001</v>
      </c>
      <c r="E59" s="43">
        <f>310896.01-E58</f>
        <v>70713.51000000001</v>
      </c>
      <c r="F59" s="46">
        <f t="shared" si="1"/>
        <v>17.6271881456251</v>
      </c>
    </row>
    <row r="60" spans="1:6" s="7" customFormat="1" ht="11.25" customHeight="1">
      <c r="A60" s="32" t="s">
        <v>3</v>
      </c>
      <c r="B60" s="43">
        <v>13000</v>
      </c>
      <c r="C60" s="43">
        <v>13000</v>
      </c>
      <c r="D60" s="43">
        <v>2010.6</v>
      </c>
      <c r="E60" s="43">
        <v>4956.37</v>
      </c>
      <c r="F60" s="46">
        <f t="shared" si="1"/>
        <v>38.12592307692307</v>
      </c>
    </row>
    <row r="61" spans="1:6" s="7" customFormat="1" ht="11.25" customHeight="1">
      <c r="A61" s="32" t="s">
        <v>4</v>
      </c>
      <c r="B61" s="43">
        <f>B62+B63</f>
        <v>460000</v>
      </c>
      <c r="C61" s="43">
        <f>C62+C63</f>
        <v>460000</v>
      </c>
      <c r="D61" s="43">
        <f>D62+D63</f>
        <v>131517.72</v>
      </c>
      <c r="E61" s="43">
        <f>E62+E63</f>
        <v>131517.72</v>
      </c>
      <c r="F61" s="46">
        <f t="shared" si="1"/>
        <v>28.590808695652175</v>
      </c>
    </row>
    <row r="62" spans="1:6" s="7" customFormat="1" ht="11.25" customHeight="1">
      <c r="A62" s="30" t="s">
        <v>5</v>
      </c>
      <c r="B62" s="43">
        <f>360000+50000+50000</f>
        <v>460000</v>
      </c>
      <c r="C62" s="43">
        <f>360000+50000+50000</f>
        <v>460000</v>
      </c>
      <c r="D62" s="43">
        <v>131517.72</v>
      </c>
      <c r="E62" s="43">
        <v>131517.72</v>
      </c>
      <c r="F62" s="46">
        <f t="shared" si="1"/>
        <v>28.590808695652175</v>
      </c>
    </row>
    <row r="63" spans="1:6" s="7" customFormat="1" ht="11.25" customHeight="1">
      <c r="A63" s="34" t="s">
        <v>7</v>
      </c>
      <c r="B63" s="43">
        <v>0</v>
      </c>
      <c r="C63" s="43">
        <v>0</v>
      </c>
      <c r="D63" s="43">
        <v>0</v>
      </c>
      <c r="E63" s="43">
        <v>0</v>
      </c>
      <c r="F63" s="46">
        <v>0</v>
      </c>
    </row>
    <row r="64" spans="1:6" s="7" customFormat="1" ht="11.25" customHeight="1">
      <c r="A64" s="79" t="s">
        <v>6</v>
      </c>
      <c r="B64" s="41">
        <v>771600</v>
      </c>
      <c r="C64" s="43">
        <v>771600</v>
      </c>
      <c r="D64" s="43">
        <v>0</v>
      </c>
      <c r="E64" s="43">
        <v>0</v>
      </c>
      <c r="F64" s="46">
        <v>0</v>
      </c>
    </row>
    <row r="65" spans="1:6" s="7" customFormat="1" ht="11.25" customHeight="1">
      <c r="A65" s="26" t="s">
        <v>8</v>
      </c>
      <c r="B65" s="43">
        <v>0</v>
      </c>
      <c r="C65" s="43">
        <v>0</v>
      </c>
      <c r="D65" s="43">
        <v>0</v>
      </c>
      <c r="E65" s="43">
        <v>0</v>
      </c>
      <c r="F65" s="46">
        <v>0</v>
      </c>
    </row>
    <row r="66" spans="1:6" s="7" customFormat="1" ht="11.25" customHeight="1">
      <c r="A66" s="7" t="s">
        <v>146</v>
      </c>
      <c r="B66" s="80">
        <f>B56+B57+B61+B64+B65</f>
        <v>2305200</v>
      </c>
      <c r="C66" s="80">
        <f>C56+C57+C61+C64+C65</f>
        <v>2306361.6</v>
      </c>
      <c r="D66" s="80">
        <f>D56+D57+D61+D64+D65</f>
        <v>309338.99</v>
      </c>
      <c r="E66" s="80">
        <f>E56+E57+E61+E64+E65</f>
        <v>447370.1</v>
      </c>
      <c r="F66" s="45">
        <f t="shared" si="1"/>
        <v>19.39722288126892</v>
      </c>
    </row>
    <row r="67" spans="1:6" s="7" customFormat="1" ht="31.5" customHeight="1">
      <c r="A67" s="119" t="s">
        <v>54</v>
      </c>
      <c r="B67" s="120"/>
      <c r="C67" s="120"/>
      <c r="D67" s="120"/>
      <c r="E67" s="120"/>
      <c r="F67" s="120"/>
    </row>
    <row r="68" spans="1:6" s="7" customFormat="1" ht="11.25">
      <c r="A68" s="4"/>
      <c r="B68" s="14" t="s">
        <v>122</v>
      </c>
      <c r="C68" s="14" t="s">
        <v>122</v>
      </c>
      <c r="D68" s="118" t="s">
        <v>123</v>
      </c>
      <c r="E68" s="118"/>
      <c r="F68" s="118"/>
    </row>
    <row r="69" spans="1:6" s="7" customFormat="1" ht="11.25">
      <c r="A69" s="12" t="s">
        <v>55</v>
      </c>
      <c r="B69" s="15" t="s">
        <v>124</v>
      </c>
      <c r="C69" s="15" t="s">
        <v>125</v>
      </c>
      <c r="D69" s="14" t="s">
        <v>126</v>
      </c>
      <c r="E69" s="14" t="s">
        <v>128</v>
      </c>
      <c r="F69" s="20" t="s">
        <v>127</v>
      </c>
    </row>
    <row r="70" spans="1:6" s="7" customFormat="1" ht="11.25">
      <c r="A70" s="8"/>
      <c r="B70" s="16"/>
      <c r="C70" s="17" t="s">
        <v>129</v>
      </c>
      <c r="D70" s="16"/>
      <c r="E70" s="17" t="s">
        <v>130</v>
      </c>
      <c r="F70" s="13" t="s">
        <v>52</v>
      </c>
    </row>
    <row r="71" spans="1:6" s="7" customFormat="1" ht="11.25">
      <c r="A71" s="36" t="s">
        <v>147</v>
      </c>
      <c r="B71" s="49">
        <f>SUM(B72:B77)</f>
        <v>7039600</v>
      </c>
      <c r="C71" s="49">
        <f>SUM(C72:C77)</f>
        <v>7039600</v>
      </c>
      <c r="D71" s="49">
        <f>SUM(D72:D77)</f>
        <v>1002475.4</v>
      </c>
      <c r="E71" s="49">
        <f>SUM(E72:E77)</f>
        <v>2050866.59</v>
      </c>
      <c r="F71" s="50">
        <f>E71/C71*100</f>
        <v>29.133282999034037</v>
      </c>
    </row>
    <row r="72" spans="1:6" s="7" customFormat="1" ht="11.25">
      <c r="A72" s="32" t="s">
        <v>148</v>
      </c>
      <c r="B72" s="51">
        <v>2680000</v>
      </c>
      <c r="C72" s="51">
        <v>2680000</v>
      </c>
      <c r="D72" s="51">
        <v>336524.5</v>
      </c>
      <c r="E72" s="51">
        <v>734891.63</v>
      </c>
      <c r="F72" s="50">
        <f aca="true" t="shared" si="2" ref="F72:F82">E72/C72*100</f>
        <v>27.421329477611938</v>
      </c>
    </row>
    <row r="73" spans="1:6" s="7" customFormat="1" ht="11.25">
      <c r="A73" s="32" t="s">
        <v>149</v>
      </c>
      <c r="B73" s="51">
        <f>2660000+1240000</f>
        <v>3900000</v>
      </c>
      <c r="C73" s="51">
        <f>2660000+1240000</f>
        <v>3900000</v>
      </c>
      <c r="D73" s="51">
        <f>370524.44+171571.16</f>
        <v>542095.6</v>
      </c>
      <c r="E73" s="51">
        <f>774548.69+383269.07</f>
        <v>1157817.76</v>
      </c>
      <c r="F73" s="50">
        <f t="shared" si="2"/>
        <v>29.68763487179487</v>
      </c>
    </row>
    <row r="74" spans="1:6" s="7" customFormat="1" ht="11.25" customHeight="1">
      <c r="A74" s="32" t="s">
        <v>150</v>
      </c>
      <c r="B74" s="43">
        <v>46000</v>
      </c>
      <c r="C74" s="43">
        <v>46000</v>
      </c>
      <c r="D74" s="43">
        <v>7142.66</v>
      </c>
      <c r="E74" s="43">
        <v>14285.32</v>
      </c>
      <c r="F74" s="50">
        <f t="shared" si="2"/>
        <v>31.05504347826087</v>
      </c>
    </row>
    <row r="75" spans="1:6" s="7" customFormat="1" ht="11.25" customHeight="1">
      <c r="A75" s="32" t="s">
        <v>151</v>
      </c>
      <c r="B75" s="43">
        <v>92000</v>
      </c>
      <c r="C75" s="43">
        <v>92000</v>
      </c>
      <c r="D75" s="43">
        <v>8389.49</v>
      </c>
      <c r="E75" s="43">
        <v>19991.19</v>
      </c>
      <c r="F75" s="50">
        <f t="shared" si="2"/>
        <v>21.729554347826085</v>
      </c>
    </row>
    <row r="76" spans="1:6" s="7" customFormat="1" ht="11.25" customHeight="1">
      <c r="A76" s="32" t="s">
        <v>152</v>
      </c>
      <c r="B76" s="43">
        <v>3600</v>
      </c>
      <c r="C76" s="43">
        <v>3600</v>
      </c>
      <c r="D76" s="43">
        <v>160.4</v>
      </c>
      <c r="E76" s="43">
        <v>361.93</v>
      </c>
      <c r="F76" s="50">
        <f t="shared" si="2"/>
        <v>10.053611111111111</v>
      </c>
    </row>
    <row r="77" spans="1:6" s="7" customFormat="1" ht="11.25" customHeight="1">
      <c r="A77" s="32" t="s">
        <v>153</v>
      </c>
      <c r="B77" s="43">
        <v>318000</v>
      </c>
      <c r="C77" s="43">
        <v>318000</v>
      </c>
      <c r="D77" s="43">
        <v>108162.75</v>
      </c>
      <c r="E77" s="43">
        <v>123518.76</v>
      </c>
      <c r="F77" s="50">
        <f t="shared" si="2"/>
        <v>38.842377358490566</v>
      </c>
    </row>
    <row r="78" spans="1:6" s="7" customFormat="1" ht="11.25" customHeight="1">
      <c r="A78" s="32" t="s">
        <v>154</v>
      </c>
      <c r="B78" s="43">
        <f>SUM(B79:B81)</f>
        <v>11370000</v>
      </c>
      <c r="C78" s="43">
        <f>SUM(C79:C81)</f>
        <v>11370000</v>
      </c>
      <c r="D78" s="43">
        <f>SUM(D79:D81)</f>
        <v>1673829.84</v>
      </c>
      <c r="E78" s="43">
        <f>SUM(E79:E81)</f>
        <v>3307929.63</v>
      </c>
      <c r="F78" s="50">
        <f t="shared" si="2"/>
        <v>29.09348839050132</v>
      </c>
    </row>
    <row r="79" spans="1:6" s="7" customFormat="1" ht="11.25" customHeight="1">
      <c r="A79" s="32" t="s">
        <v>155</v>
      </c>
      <c r="B79" s="43">
        <v>11330000</v>
      </c>
      <c r="C79" s="43">
        <v>11330000</v>
      </c>
      <c r="D79" s="43">
        <v>1641240.79</v>
      </c>
      <c r="E79" s="43">
        <v>3275389.06</v>
      </c>
      <c r="F79" s="50">
        <f t="shared" si="2"/>
        <v>28.908994351279787</v>
      </c>
    </row>
    <row r="80" spans="1:6" s="7" customFormat="1" ht="11.25" customHeight="1">
      <c r="A80" s="32" t="s">
        <v>156</v>
      </c>
      <c r="B80" s="43">
        <v>0</v>
      </c>
      <c r="C80" s="43">
        <v>0</v>
      </c>
      <c r="D80" s="43">
        <v>0</v>
      </c>
      <c r="E80" s="43">
        <v>0</v>
      </c>
      <c r="F80" s="50">
        <v>0</v>
      </c>
    </row>
    <row r="81" spans="1:6" s="7" customFormat="1" ht="11.25" customHeight="1">
      <c r="A81" s="32" t="s">
        <v>157</v>
      </c>
      <c r="B81" s="43">
        <v>40000</v>
      </c>
      <c r="C81" s="43">
        <v>40000</v>
      </c>
      <c r="D81" s="43">
        <v>32589.05</v>
      </c>
      <c r="E81" s="43">
        <v>32540.57</v>
      </c>
      <c r="F81" s="50">
        <f t="shared" si="2"/>
        <v>81.351425</v>
      </c>
    </row>
    <row r="82" spans="1:6" s="7" customFormat="1" ht="11.25" customHeight="1">
      <c r="A82" s="27" t="s">
        <v>158</v>
      </c>
      <c r="B82" s="52">
        <f>B79-B71</f>
        <v>4290400</v>
      </c>
      <c r="C82" s="52">
        <f>C79-C71</f>
        <v>4290400</v>
      </c>
      <c r="D82" s="52">
        <f>D79-D71</f>
        <v>638765.39</v>
      </c>
      <c r="E82" s="52">
        <f>E79-E71</f>
        <v>1224522.47</v>
      </c>
      <c r="F82" s="53">
        <f t="shared" si="2"/>
        <v>28.54098615513705</v>
      </c>
    </row>
    <row r="83" spans="1:6" s="7" customFormat="1" ht="11.25" customHeight="1">
      <c r="A83" s="103" t="s">
        <v>159</v>
      </c>
      <c r="B83" s="104"/>
      <c r="C83" s="104"/>
      <c r="D83" s="104"/>
      <c r="E83" s="104"/>
      <c r="F83" s="104"/>
    </row>
    <row r="84" spans="1:6" s="7" customFormat="1" ht="11.25" customHeight="1">
      <c r="A84" s="105" t="s">
        <v>160</v>
      </c>
      <c r="B84" s="105"/>
      <c r="C84" s="105"/>
      <c r="D84" s="105"/>
      <c r="E84" s="105"/>
      <c r="F84" s="105"/>
    </row>
    <row r="85" spans="1:6" s="7" customFormat="1" ht="11.25" customHeight="1">
      <c r="A85" s="4"/>
      <c r="B85" s="14" t="s">
        <v>131</v>
      </c>
      <c r="C85" s="14" t="s">
        <v>131</v>
      </c>
      <c r="D85" s="117" t="s">
        <v>47</v>
      </c>
      <c r="E85" s="118"/>
      <c r="F85" s="118"/>
    </row>
    <row r="86" spans="1:6" s="7" customFormat="1" ht="11.25" customHeight="1">
      <c r="A86" s="12" t="s">
        <v>56</v>
      </c>
      <c r="B86" s="15" t="s">
        <v>124</v>
      </c>
      <c r="C86" s="15" t="s">
        <v>125</v>
      </c>
      <c r="D86" s="14" t="s">
        <v>126</v>
      </c>
      <c r="E86" s="14" t="s">
        <v>128</v>
      </c>
      <c r="F86" s="38" t="s">
        <v>127</v>
      </c>
    </row>
    <row r="87" spans="1:6" s="7" customFormat="1" ht="11.25" customHeight="1">
      <c r="A87" s="11"/>
      <c r="B87" s="16"/>
      <c r="C87" s="17" t="s">
        <v>48</v>
      </c>
      <c r="D87" s="16"/>
      <c r="E87" s="37" t="s">
        <v>49</v>
      </c>
      <c r="F87" s="37" t="s">
        <v>57</v>
      </c>
    </row>
    <row r="88" spans="1:6" s="7" customFormat="1" ht="11.25" customHeight="1">
      <c r="A88" s="36" t="s">
        <v>9</v>
      </c>
      <c r="B88" s="54">
        <f>B89+B90</f>
        <v>8717000</v>
      </c>
      <c r="C88" s="54">
        <f>C89+C90</f>
        <v>8717000</v>
      </c>
      <c r="D88" s="54">
        <f>D89+D90</f>
        <v>1440181.26</v>
      </c>
      <c r="E88" s="55">
        <f>E89+E90</f>
        <v>2440362.46</v>
      </c>
      <c r="F88" s="60">
        <f>E88/C88*100</f>
        <v>27.99543948606172</v>
      </c>
    </row>
    <row r="89" spans="1:6" s="7" customFormat="1" ht="11.25" customHeight="1">
      <c r="A89" s="32" t="s">
        <v>10</v>
      </c>
      <c r="B89" s="56">
        <v>1559000</v>
      </c>
      <c r="C89" s="56">
        <v>1559000</v>
      </c>
      <c r="D89" s="56">
        <v>252782.46</v>
      </c>
      <c r="E89" s="58">
        <v>444307.95</v>
      </c>
      <c r="F89" s="60">
        <f aca="true" t="shared" si="3" ref="F89:F94">E89/C89*100</f>
        <v>28.499547787042978</v>
      </c>
    </row>
    <row r="90" spans="1:6" s="7" customFormat="1" ht="11.25" customHeight="1">
      <c r="A90" s="32" t="s">
        <v>11</v>
      </c>
      <c r="B90" s="56">
        <v>7158000</v>
      </c>
      <c r="C90" s="56">
        <v>7158000</v>
      </c>
      <c r="D90" s="56">
        <v>1187398.8</v>
      </c>
      <c r="E90" s="58">
        <v>1996054.51</v>
      </c>
      <c r="F90" s="60">
        <f t="shared" si="3"/>
        <v>27.885645571388658</v>
      </c>
    </row>
    <row r="91" spans="1:6" s="7" customFormat="1" ht="11.25" customHeight="1">
      <c r="A91" s="32" t="s">
        <v>12</v>
      </c>
      <c r="B91" s="56">
        <f>B92+B93</f>
        <v>2653000</v>
      </c>
      <c r="C91" s="56">
        <f>C92+C93</f>
        <v>2653000</v>
      </c>
      <c r="D91" s="56">
        <f>D92+D93</f>
        <v>400915.4</v>
      </c>
      <c r="E91" s="58">
        <f>E92+E93</f>
        <v>795496.12</v>
      </c>
      <c r="F91" s="60">
        <f t="shared" si="3"/>
        <v>29.98477647945722</v>
      </c>
    </row>
    <row r="92" spans="1:6" s="7" customFormat="1" ht="11.25" customHeight="1">
      <c r="A92" s="32" t="s">
        <v>13</v>
      </c>
      <c r="B92" s="56">
        <v>720000</v>
      </c>
      <c r="C92" s="56">
        <v>720000</v>
      </c>
      <c r="D92" s="56">
        <v>103125.65</v>
      </c>
      <c r="E92" s="58">
        <v>213594.47</v>
      </c>
      <c r="F92" s="60">
        <f t="shared" si="3"/>
        <v>29.665898611111114</v>
      </c>
    </row>
    <row r="93" spans="1:6" s="7" customFormat="1" ht="11.25" customHeight="1">
      <c r="A93" s="35" t="s">
        <v>14</v>
      </c>
      <c r="B93" s="56">
        <v>1933000</v>
      </c>
      <c r="C93" s="56">
        <v>1933000</v>
      </c>
      <c r="D93" s="56">
        <v>297789.75</v>
      </c>
      <c r="E93" s="58">
        <v>581901.65</v>
      </c>
      <c r="F93" s="60">
        <f t="shared" si="3"/>
        <v>30.103551474392138</v>
      </c>
    </row>
    <row r="94" spans="1:8" s="7" customFormat="1" ht="11.25" customHeight="1">
      <c r="A94" s="35" t="s">
        <v>15</v>
      </c>
      <c r="B94" s="57">
        <f>B88+B91</f>
        <v>11370000</v>
      </c>
      <c r="C94" s="57">
        <f>C88+C91</f>
        <v>11370000</v>
      </c>
      <c r="D94" s="57">
        <f>D88+D91</f>
        <v>1841096.6600000001</v>
      </c>
      <c r="E94" s="59">
        <f>E88+E91</f>
        <v>3235858.58</v>
      </c>
      <c r="F94" s="59">
        <f t="shared" si="3"/>
        <v>28.459618117854003</v>
      </c>
      <c r="G94" s="100"/>
      <c r="H94" s="100"/>
    </row>
    <row r="95" spans="1:6" s="6" customFormat="1" ht="24.75" customHeight="1">
      <c r="A95" s="92" t="s">
        <v>113</v>
      </c>
      <c r="B95" s="93"/>
      <c r="C95" s="93"/>
      <c r="D95" s="93"/>
      <c r="E95" s="94"/>
      <c r="F95" s="24" t="s">
        <v>73</v>
      </c>
    </row>
    <row r="96" spans="1:6" s="7" customFormat="1" ht="11.25" customHeight="1">
      <c r="A96" s="129" t="s">
        <v>16</v>
      </c>
      <c r="B96" s="86"/>
      <c r="C96" s="86"/>
      <c r="D96" s="86"/>
      <c r="E96" s="87"/>
      <c r="F96" s="40">
        <v>0</v>
      </c>
    </row>
    <row r="97" spans="1:6" s="7" customFormat="1" ht="11.25" customHeight="1">
      <c r="A97" s="129" t="s">
        <v>17</v>
      </c>
      <c r="B97" s="86"/>
      <c r="C97" s="86"/>
      <c r="D97" s="86"/>
      <c r="E97" s="87"/>
      <c r="F97" s="101">
        <v>0</v>
      </c>
    </row>
    <row r="98" spans="1:6" s="7" customFormat="1" ht="11.25" customHeight="1">
      <c r="A98" s="111" t="s">
        <v>18</v>
      </c>
      <c r="B98" s="132"/>
      <c r="C98" s="132"/>
      <c r="D98" s="132"/>
      <c r="E98" s="133"/>
      <c r="F98" s="61">
        <f>F96+F97</f>
        <v>0</v>
      </c>
    </row>
    <row r="99" spans="1:6" s="7" customFormat="1" ht="15.75">
      <c r="A99" s="84" t="s">
        <v>164</v>
      </c>
      <c r="B99" s="84"/>
      <c r="C99" s="84"/>
      <c r="D99" s="84"/>
      <c r="E99" s="85"/>
      <c r="F99" s="97">
        <f>(E88-F98)/E78*100</f>
        <v>73.7731068360121</v>
      </c>
    </row>
    <row r="100" spans="1:6" s="5" customFormat="1" ht="24.75" customHeight="1">
      <c r="A100" s="92" t="s">
        <v>114</v>
      </c>
      <c r="B100" s="92"/>
      <c r="C100" s="92"/>
      <c r="D100" s="88"/>
      <c r="E100" s="95" t="s">
        <v>73</v>
      </c>
      <c r="F100" s="96"/>
    </row>
    <row r="101" spans="1:6" s="7" customFormat="1" ht="11.25" customHeight="1">
      <c r="A101" s="134" t="s">
        <v>138</v>
      </c>
      <c r="B101" s="135"/>
      <c r="C101" s="135"/>
      <c r="D101" s="136"/>
      <c r="E101" s="121">
        <v>133247.47</v>
      </c>
      <c r="F101" s="122"/>
    </row>
    <row r="102" spans="1:6" s="7" customFormat="1" ht="11.25" customHeight="1">
      <c r="A102" s="90" t="s">
        <v>139</v>
      </c>
      <c r="B102" s="91"/>
      <c r="C102" s="91"/>
      <c r="D102" s="139"/>
      <c r="E102" s="121">
        <v>133247.47</v>
      </c>
      <c r="F102" s="122"/>
    </row>
    <row r="103" spans="1:6" s="7" customFormat="1" ht="31.5" customHeight="1">
      <c r="A103" s="119" t="s">
        <v>115</v>
      </c>
      <c r="B103" s="120"/>
      <c r="C103" s="120"/>
      <c r="D103" s="120"/>
      <c r="E103" s="120"/>
      <c r="F103" s="120"/>
    </row>
    <row r="104" spans="1:6" s="7" customFormat="1" ht="11.25" customHeight="1">
      <c r="A104" s="29"/>
      <c r="B104" s="14" t="s">
        <v>122</v>
      </c>
      <c r="C104" s="14" t="s">
        <v>122</v>
      </c>
      <c r="D104" s="118" t="s">
        <v>123</v>
      </c>
      <c r="E104" s="118"/>
      <c r="F104" s="118"/>
    </row>
    <row r="105" spans="1:6" s="7" customFormat="1" ht="11.25" customHeight="1">
      <c r="A105" s="23" t="s">
        <v>83</v>
      </c>
      <c r="B105" s="15" t="s">
        <v>124</v>
      </c>
      <c r="C105" s="15" t="s">
        <v>125</v>
      </c>
      <c r="D105" s="14" t="s">
        <v>126</v>
      </c>
      <c r="E105" s="14" t="s">
        <v>128</v>
      </c>
      <c r="F105" s="20" t="s">
        <v>127</v>
      </c>
    </row>
    <row r="106" spans="1:6" s="7" customFormat="1" ht="11.25" customHeight="1">
      <c r="A106" s="26"/>
      <c r="B106" s="16"/>
      <c r="C106" s="17" t="s">
        <v>129</v>
      </c>
      <c r="D106" s="16"/>
      <c r="E106" s="17" t="s">
        <v>130</v>
      </c>
      <c r="F106" s="13" t="s">
        <v>52</v>
      </c>
    </row>
    <row r="107" spans="1:6" s="7" customFormat="1" ht="11.25" customHeight="1">
      <c r="A107" s="27" t="s">
        <v>19</v>
      </c>
      <c r="B107" s="75">
        <f>B52*25%</f>
        <v>9576050</v>
      </c>
      <c r="C107" s="75">
        <f>C52*25%</f>
        <v>9576050</v>
      </c>
      <c r="D107" s="75">
        <f>D52*25%</f>
        <v>1334326.595</v>
      </c>
      <c r="E107" s="75">
        <f>E52*25%</f>
        <v>2714835.9824999995</v>
      </c>
      <c r="F107" s="62">
        <f>E107/C107*100</f>
        <v>28.350269500472525</v>
      </c>
    </row>
    <row r="108" spans="1:6" s="7" customFormat="1" ht="11.25" customHeight="1">
      <c r="A108" s="4"/>
      <c r="B108" s="14" t="s">
        <v>131</v>
      </c>
      <c r="C108" s="14" t="s">
        <v>131</v>
      </c>
      <c r="D108" s="117" t="s">
        <v>47</v>
      </c>
      <c r="E108" s="118"/>
      <c r="F108" s="118"/>
    </row>
    <row r="109" spans="1:6" s="7" customFormat="1" ht="11.25" customHeight="1">
      <c r="A109" s="12" t="s">
        <v>84</v>
      </c>
      <c r="B109" s="15" t="s">
        <v>124</v>
      </c>
      <c r="C109" s="15" t="s">
        <v>125</v>
      </c>
      <c r="D109" s="14" t="s">
        <v>126</v>
      </c>
      <c r="E109" s="14" t="s">
        <v>128</v>
      </c>
      <c r="F109" s="38" t="s">
        <v>127</v>
      </c>
    </row>
    <row r="110" spans="1:6" s="7" customFormat="1" ht="11.25" customHeight="1">
      <c r="A110" s="11"/>
      <c r="B110" s="16"/>
      <c r="C110" s="17" t="s">
        <v>48</v>
      </c>
      <c r="D110" s="16"/>
      <c r="E110" s="17" t="s">
        <v>49</v>
      </c>
      <c r="F110" s="37" t="s">
        <v>57</v>
      </c>
    </row>
    <row r="111" spans="1:6" s="7" customFormat="1" ht="11.25" customHeight="1">
      <c r="A111" s="36" t="s">
        <v>20</v>
      </c>
      <c r="B111" s="63">
        <f>B112+B113</f>
        <v>4188000</v>
      </c>
      <c r="C111" s="63">
        <f>C112+C113</f>
        <v>4155524.96</v>
      </c>
      <c r="D111" s="63">
        <f>D112+D113</f>
        <v>565337.34</v>
      </c>
      <c r="E111" s="40">
        <f>E112+E113</f>
        <v>1099473.07</v>
      </c>
      <c r="F111" s="66">
        <f>E111/C111*100</f>
        <v>26.458102901155478</v>
      </c>
    </row>
    <row r="112" spans="1:6" s="7" customFormat="1" ht="11.25" customHeight="1">
      <c r="A112" s="32" t="s">
        <v>21</v>
      </c>
      <c r="B112" s="64">
        <f>B89+B92</f>
        <v>2279000</v>
      </c>
      <c r="C112" s="64">
        <f>C89+C92</f>
        <v>2279000</v>
      </c>
      <c r="D112" s="64">
        <f>D89+D92</f>
        <v>355908.11</v>
      </c>
      <c r="E112" s="64">
        <f>E89+E92</f>
        <v>657902.42</v>
      </c>
      <c r="F112" s="66">
        <f aca="true" t="shared" si="4" ref="F112:F121">E112/C112*100</f>
        <v>28.868030715225977</v>
      </c>
    </row>
    <row r="113" spans="1:6" s="7" customFormat="1" ht="11.25" customHeight="1">
      <c r="A113" s="32" t="s">
        <v>22</v>
      </c>
      <c r="B113" s="64">
        <f>5000+886000+144000+108000+50000+30000+550000+136000</f>
        <v>1909000</v>
      </c>
      <c r="C113" s="64">
        <f>5000+702000+144000+108000+50000+601624.96+129900+136000</f>
        <v>1876524.96</v>
      </c>
      <c r="D113" s="64">
        <f>3065+19640.36+27800+20600+4599+89361.86+44363.01</f>
        <v>209429.23</v>
      </c>
      <c r="E113" s="66">
        <f>3065+22066.45+41700+30900+4599+292705.26+46534.94</f>
        <v>441570.65</v>
      </c>
      <c r="F113" s="66">
        <f t="shared" si="4"/>
        <v>23.53129638094449</v>
      </c>
    </row>
    <row r="114" spans="1:6" s="7" customFormat="1" ht="11.25" customHeight="1">
      <c r="A114" s="32" t="s">
        <v>23</v>
      </c>
      <c r="B114" s="64">
        <f>B115+B116</f>
        <v>11035000</v>
      </c>
      <c r="C114" s="64">
        <f>C115+C116</f>
        <v>11405500</v>
      </c>
      <c r="D114" s="64">
        <f>D115+D116</f>
        <v>1873071.69</v>
      </c>
      <c r="E114" s="66">
        <f>E115+E116</f>
        <v>3213621.92</v>
      </c>
      <c r="F114" s="66">
        <f t="shared" si="4"/>
        <v>28.1760722458463</v>
      </c>
    </row>
    <row r="115" spans="1:6" s="7" customFormat="1" ht="11.25" customHeight="1">
      <c r="A115" s="32" t="s">
        <v>74</v>
      </c>
      <c r="B115" s="64">
        <f>B90+B93</f>
        <v>9091000</v>
      </c>
      <c r="C115" s="64">
        <f>C90+C93</f>
        <v>9091000</v>
      </c>
      <c r="D115" s="64">
        <f>D90+D93</f>
        <v>1485188.55</v>
      </c>
      <c r="E115" s="64">
        <f>E90+E93</f>
        <v>2577956.16</v>
      </c>
      <c r="F115" s="66">
        <f t="shared" si="4"/>
        <v>28.357234187658126</v>
      </c>
    </row>
    <row r="116" spans="1:6" s="7" customFormat="1" ht="11.25" customHeight="1">
      <c r="A116" s="32" t="s">
        <v>58</v>
      </c>
      <c r="B116" s="64">
        <f>30000+50000+5000+95000+462000+1302000</f>
        <v>1944000</v>
      </c>
      <c r="C116" s="64">
        <f>50000+406000+471500+1387000</f>
        <v>2314500</v>
      </c>
      <c r="D116" s="64">
        <f>5357+88123.17+91117.65+203285.32</f>
        <v>387883.14</v>
      </c>
      <c r="E116" s="66">
        <f>5357+306923.5+120099.94+203285.32</f>
        <v>635665.76</v>
      </c>
      <c r="F116" s="66">
        <f t="shared" si="4"/>
        <v>27.464496003456468</v>
      </c>
    </row>
    <row r="117" spans="1:6" s="7" customFormat="1" ht="11.25" customHeight="1">
      <c r="A117" s="32" t="s">
        <v>24</v>
      </c>
      <c r="B117" s="65">
        <v>0</v>
      </c>
      <c r="C117" s="65">
        <v>0</v>
      </c>
      <c r="D117" s="65">
        <v>0</v>
      </c>
      <c r="E117" s="65">
        <v>0</v>
      </c>
      <c r="F117" s="66">
        <v>0</v>
      </c>
    </row>
    <row r="118" spans="1:6" s="7" customFormat="1" ht="11.25" customHeight="1">
      <c r="A118" s="32" t="s">
        <v>25</v>
      </c>
      <c r="B118" s="65">
        <v>0</v>
      </c>
      <c r="C118" s="65">
        <v>0</v>
      </c>
      <c r="D118" s="65">
        <v>0</v>
      </c>
      <c r="E118" s="65">
        <v>0</v>
      </c>
      <c r="F118" s="66">
        <v>0</v>
      </c>
    </row>
    <row r="119" spans="1:6" s="7" customFormat="1" ht="11.25" customHeight="1">
      <c r="A119" s="32" t="s">
        <v>26</v>
      </c>
      <c r="B119" s="65">
        <v>0</v>
      </c>
      <c r="C119" s="65">
        <v>0</v>
      </c>
      <c r="D119" s="65">
        <v>0</v>
      </c>
      <c r="E119" s="65">
        <v>0</v>
      </c>
      <c r="F119" s="66">
        <v>0</v>
      </c>
    </row>
    <row r="120" spans="1:6" s="7" customFormat="1" ht="11.25" customHeight="1">
      <c r="A120" s="35" t="s">
        <v>27</v>
      </c>
      <c r="B120" s="65">
        <v>0</v>
      </c>
      <c r="C120" s="65">
        <v>0</v>
      </c>
      <c r="D120" s="65">
        <v>0</v>
      </c>
      <c r="E120" s="65">
        <v>0</v>
      </c>
      <c r="F120" s="66">
        <v>0</v>
      </c>
    </row>
    <row r="121" spans="1:9" s="7" customFormat="1" ht="13.5" customHeight="1">
      <c r="A121" s="35" t="s">
        <v>28</v>
      </c>
      <c r="B121" s="47">
        <f>B111+B114+B117+B118+B119+B120</f>
        <v>15223000</v>
      </c>
      <c r="C121" s="47">
        <f>C111+C114+C117+C118+C119+C120</f>
        <v>15561024.96</v>
      </c>
      <c r="D121" s="47">
        <f>D111+D114+D117+D118+D119+D120</f>
        <v>2438409.03</v>
      </c>
      <c r="E121" s="48">
        <f>E111+E114+E117+E118+E119+E120</f>
        <v>4313094.99</v>
      </c>
      <c r="F121" s="67">
        <f t="shared" si="4"/>
        <v>27.717293694258043</v>
      </c>
      <c r="G121" s="82"/>
      <c r="I121" s="83"/>
    </row>
    <row r="122" spans="1:6" s="7" customFormat="1" ht="11.25" customHeight="1">
      <c r="A122" s="140"/>
      <c r="B122" s="141"/>
      <c r="C122" s="141"/>
      <c r="D122" s="142"/>
      <c r="E122" s="141"/>
      <c r="F122" s="140"/>
    </row>
    <row r="123" spans="1:6" s="7" customFormat="1" ht="11.25" customHeight="1">
      <c r="A123" s="140" t="s">
        <v>116</v>
      </c>
      <c r="B123" s="140"/>
      <c r="C123" s="140"/>
      <c r="D123" s="143"/>
      <c r="E123" s="144" t="s">
        <v>73</v>
      </c>
      <c r="F123" s="144"/>
    </row>
    <row r="124" spans="1:6" s="7" customFormat="1" ht="11.25" customHeight="1">
      <c r="A124" s="145"/>
      <c r="B124" s="145"/>
      <c r="C124" s="145"/>
      <c r="D124" s="146"/>
      <c r="E124" s="89"/>
      <c r="F124" s="89"/>
    </row>
    <row r="125" spans="1:6" s="7" customFormat="1" ht="11.25" customHeight="1">
      <c r="A125" s="129" t="s">
        <v>29</v>
      </c>
      <c r="B125" s="130"/>
      <c r="C125" s="130"/>
      <c r="D125" s="131"/>
      <c r="E125" s="147">
        <f>E82</f>
        <v>1224522.47</v>
      </c>
      <c r="F125" s="148"/>
    </row>
    <row r="126" spans="1:6" s="7" customFormat="1" ht="11.25" customHeight="1">
      <c r="A126" s="129" t="s">
        <v>30</v>
      </c>
      <c r="B126" s="130"/>
      <c r="C126" s="130"/>
      <c r="D126" s="131"/>
      <c r="E126" s="124">
        <v>0</v>
      </c>
      <c r="F126" s="125"/>
    </row>
    <row r="127" spans="1:6" s="7" customFormat="1" ht="11.25" customHeight="1">
      <c r="A127" s="129" t="s">
        <v>31</v>
      </c>
      <c r="B127" s="130"/>
      <c r="C127" s="130"/>
      <c r="D127" s="131"/>
      <c r="E127" s="124">
        <f>E154</f>
        <v>32540.57</v>
      </c>
      <c r="F127" s="125"/>
    </row>
    <row r="128" spans="1:6" s="7" customFormat="1" ht="11.25" customHeight="1">
      <c r="A128" s="106" t="s">
        <v>32</v>
      </c>
      <c r="B128" s="130"/>
      <c r="C128" s="130"/>
      <c r="D128" s="131"/>
      <c r="E128" s="124">
        <f>E102</f>
        <v>133247.47</v>
      </c>
      <c r="F128" s="125"/>
    </row>
    <row r="129" spans="1:6" s="7" customFormat="1" ht="11.25" customHeight="1">
      <c r="A129" s="106" t="s">
        <v>33</v>
      </c>
      <c r="B129" s="130"/>
      <c r="C129" s="130"/>
      <c r="D129" s="131"/>
      <c r="E129" s="124">
        <v>103800.67</v>
      </c>
      <c r="F129" s="125"/>
    </row>
    <row r="130" spans="1:6" s="7" customFormat="1" ht="11.25" customHeight="1">
      <c r="A130" s="129" t="s">
        <v>34</v>
      </c>
      <c r="B130" s="130"/>
      <c r="C130" s="130"/>
      <c r="D130" s="131"/>
      <c r="E130" s="124">
        <v>0</v>
      </c>
      <c r="F130" s="125"/>
    </row>
    <row r="131" spans="1:6" s="7" customFormat="1" ht="22.5" customHeight="1">
      <c r="A131" s="129" t="s">
        <v>35</v>
      </c>
      <c r="B131" s="130"/>
      <c r="C131" s="130"/>
      <c r="D131" s="131"/>
      <c r="E131" s="126">
        <f>D147</f>
        <v>0</v>
      </c>
      <c r="F131" s="127"/>
    </row>
    <row r="132" spans="1:6" s="7" customFormat="1" ht="11.25" customHeight="1">
      <c r="A132" s="111" t="s">
        <v>36</v>
      </c>
      <c r="B132" s="112"/>
      <c r="C132" s="112"/>
      <c r="D132" s="113"/>
      <c r="E132" s="121">
        <f>SUM(E125:F131)</f>
        <v>1494111.18</v>
      </c>
      <c r="F132" s="128"/>
    </row>
    <row r="133" spans="1:6" s="7" customFormat="1" ht="11.25" customHeight="1">
      <c r="A133" s="111" t="s">
        <v>37</v>
      </c>
      <c r="B133" s="112"/>
      <c r="C133" s="112"/>
      <c r="D133" s="113"/>
      <c r="E133" s="121">
        <f>E111+E114-E132</f>
        <v>2818983.8100000005</v>
      </c>
      <c r="F133" s="128"/>
    </row>
    <row r="134" spans="1:6" s="7" customFormat="1" ht="14.25" customHeight="1">
      <c r="A134" s="114" t="s">
        <v>163</v>
      </c>
      <c r="B134" s="115"/>
      <c r="C134" s="115"/>
      <c r="D134" s="116"/>
      <c r="E134" s="149">
        <f>E133/E52*100</f>
        <v>25.95906187492858</v>
      </c>
      <c r="F134" s="150"/>
    </row>
    <row r="135" spans="1:6" s="7" customFormat="1" ht="33" customHeight="1">
      <c r="A135" s="119" t="s">
        <v>117</v>
      </c>
      <c r="B135" s="120"/>
      <c r="C135" s="120"/>
      <c r="D135" s="120"/>
      <c r="E135" s="120"/>
      <c r="F135" s="120"/>
    </row>
    <row r="136" spans="1:6" s="7" customFormat="1" ht="11.25" customHeight="1">
      <c r="A136" s="10"/>
      <c r="B136" s="14" t="s">
        <v>131</v>
      </c>
      <c r="C136" s="14" t="s">
        <v>131</v>
      </c>
      <c r="D136" s="117" t="s">
        <v>47</v>
      </c>
      <c r="E136" s="118"/>
      <c r="F136" s="118"/>
    </row>
    <row r="137" spans="1:6" s="7" customFormat="1" ht="11.25" customHeight="1">
      <c r="A137" s="19" t="s">
        <v>118</v>
      </c>
      <c r="B137" s="15" t="s">
        <v>124</v>
      </c>
      <c r="C137" s="15" t="s">
        <v>125</v>
      </c>
      <c r="D137" s="14" t="s">
        <v>126</v>
      </c>
      <c r="E137" s="14" t="s">
        <v>128</v>
      </c>
      <c r="F137" s="20" t="s">
        <v>127</v>
      </c>
    </row>
    <row r="138" spans="1:6" s="7" customFormat="1" ht="11.25" customHeight="1">
      <c r="A138" s="11"/>
      <c r="B138" s="16"/>
      <c r="C138" s="17" t="s">
        <v>48</v>
      </c>
      <c r="D138" s="16"/>
      <c r="E138" s="17" t="s">
        <v>49</v>
      </c>
      <c r="F138" s="13" t="s">
        <v>57</v>
      </c>
    </row>
    <row r="139" spans="1:6" s="7" customFormat="1" ht="22.5" customHeight="1">
      <c r="A139" s="39" t="s">
        <v>141</v>
      </c>
      <c r="B139" s="98">
        <v>0</v>
      </c>
      <c r="C139" s="71">
        <v>0</v>
      </c>
      <c r="D139" s="98">
        <v>0</v>
      </c>
      <c r="E139" s="72">
        <v>0</v>
      </c>
      <c r="F139" s="71">
        <v>0</v>
      </c>
    </row>
    <row r="140" spans="1:6" s="7" customFormat="1" ht="11.25" customHeight="1">
      <c r="A140" s="39" t="s">
        <v>38</v>
      </c>
      <c r="B140" s="70">
        <v>660600</v>
      </c>
      <c r="C140" s="71">
        <v>660600</v>
      </c>
      <c r="D140" s="70">
        <v>23025.05</v>
      </c>
      <c r="E140" s="72">
        <v>71287.09</v>
      </c>
      <c r="F140" s="73">
        <f>E140/C140*100</f>
        <v>10.79126400242204</v>
      </c>
    </row>
    <row r="141" spans="1:6" s="7" customFormat="1" ht="11.25" customHeight="1">
      <c r="A141" s="39" t="s">
        <v>39</v>
      </c>
      <c r="B141" s="70">
        <v>0</v>
      </c>
      <c r="C141" s="71">
        <v>0</v>
      </c>
      <c r="D141" s="70">
        <v>0</v>
      </c>
      <c r="E141" s="71">
        <v>0</v>
      </c>
      <c r="F141" s="73">
        <v>0</v>
      </c>
    </row>
    <row r="142" spans="1:6" s="7" customFormat="1" ht="11.25">
      <c r="A142" s="74" t="s">
        <v>40</v>
      </c>
      <c r="B142" s="99">
        <f>1816100+360000+454000+8000+151000</f>
        <v>2789100</v>
      </c>
      <c r="C142" s="71">
        <f>1869350+504000+454000+8000+151000</f>
        <v>2986350</v>
      </c>
      <c r="D142" s="99">
        <f>182231.54+86074.95+94171.88+1495</f>
        <v>363973.37</v>
      </c>
      <c r="E142" s="72">
        <f>272937.3+86074.95+94171.88+1775</f>
        <v>454959.13</v>
      </c>
      <c r="F142" s="73">
        <f>E142/C142*100</f>
        <v>15.234621862809114</v>
      </c>
    </row>
    <row r="143" spans="1:11" s="7" customFormat="1" ht="22.5">
      <c r="A143" s="81" t="s">
        <v>41</v>
      </c>
      <c r="B143" s="69">
        <f>SUM(B139:B142)</f>
        <v>3449700</v>
      </c>
      <c r="C143" s="69">
        <f>SUM(C139:C142)</f>
        <v>3646950</v>
      </c>
      <c r="D143" s="69">
        <f>SUM(D139:D142)</f>
        <v>386998.42</v>
      </c>
      <c r="E143" s="69">
        <f>SUM(E139:E142)</f>
        <v>526246.22</v>
      </c>
      <c r="F143" s="68">
        <f>E143/C143*100</f>
        <v>14.429762404200769</v>
      </c>
      <c r="G143" s="100"/>
      <c r="H143" s="100"/>
      <c r="I143" s="100"/>
      <c r="J143" s="100"/>
      <c r="K143" s="100"/>
    </row>
    <row r="144" spans="1:6" s="7" customFormat="1" ht="11.25" customHeight="1">
      <c r="A144" s="151" t="s">
        <v>59</v>
      </c>
      <c r="B144" s="154" t="s">
        <v>77</v>
      </c>
      <c r="C144" s="155"/>
      <c r="D144" s="154"/>
      <c r="E144" s="156"/>
      <c r="F144" s="156"/>
    </row>
    <row r="145" spans="1:6" s="7" customFormat="1" ht="11.25" customHeight="1">
      <c r="A145" s="152"/>
      <c r="B145" s="157" t="s">
        <v>60</v>
      </c>
      <c r="C145" s="158"/>
      <c r="D145" s="157" t="s">
        <v>140</v>
      </c>
      <c r="E145" s="123"/>
      <c r="F145" s="123"/>
    </row>
    <row r="146" spans="1:6" s="7" customFormat="1" ht="11.25" customHeight="1">
      <c r="A146" s="153"/>
      <c r="B146" s="159" t="s">
        <v>77</v>
      </c>
      <c r="C146" s="160"/>
      <c r="D146" s="159"/>
      <c r="E146" s="161"/>
      <c r="F146" s="161"/>
    </row>
    <row r="147" spans="1:6" s="7" customFormat="1" ht="19.5" customHeight="1">
      <c r="A147" s="6" t="s">
        <v>42</v>
      </c>
      <c r="B147" s="167">
        <v>39</v>
      </c>
      <c r="C147" s="168"/>
      <c r="D147" s="167">
        <v>0</v>
      </c>
      <c r="E147" s="169"/>
      <c r="F147" s="169"/>
    </row>
    <row r="148" spans="1:6" s="7" customFormat="1" ht="11.25" customHeight="1">
      <c r="A148" s="18"/>
      <c r="B148" s="9"/>
      <c r="C148" s="9"/>
      <c r="D148" s="9"/>
      <c r="E148" s="9"/>
      <c r="F148" s="9"/>
    </row>
    <row r="149" spans="1:6" s="7" customFormat="1" ht="11.25" customHeight="1">
      <c r="A149" s="170" t="s">
        <v>85</v>
      </c>
      <c r="B149" s="170"/>
      <c r="C149" s="170"/>
      <c r="D149" s="171"/>
      <c r="E149" s="174" t="s">
        <v>73</v>
      </c>
      <c r="F149" s="175"/>
    </row>
    <row r="150" spans="1:6" s="7" customFormat="1" ht="22.5" customHeight="1">
      <c r="A150" s="172"/>
      <c r="B150" s="172"/>
      <c r="C150" s="172"/>
      <c r="D150" s="173"/>
      <c r="E150" s="22" t="s">
        <v>87</v>
      </c>
      <c r="F150" s="3" t="s">
        <v>86</v>
      </c>
    </row>
    <row r="151" spans="1:8" s="7" customFormat="1" ht="11.25" customHeight="1">
      <c r="A151" s="77" t="s">
        <v>142</v>
      </c>
      <c r="B151" s="176"/>
      <c r="C151" s="176"/>
      <c r="D151" s="176"/>
      <c r="E151" s="98">
        <f>266830.96+3441.38</f>
        <v>270272.34</v>
      </c>
      <c r="F151" s="107">
        <v>0</v>
      </c>
      <c r="H151" s="100"/>
    </row>
    <row r="152" spans="1:8" s="7" customFormat="1" ht="11.25" customHeight="1">
      <c r="A152" s="77" t="s">
        <v>43</v>
      </c>
      <c r="B152" s="125"/>
      <c r="C152" s="125"/>
      <c r="D152" s="125"/>
      <c r="E152" s="70">
        <f>E79</f>
        <v>3275389.06</v>
      </c>
      <c r="F152" s="73">
        <v>0</v>
      </c>
      <c r="H152" s="100"/>
    </row>
    <row r="153" spans="1:8" s="7" customFormat="1" ht="11.25" customHeight="1">
      <c r="A153" s="77" t="s">
        <v>44</v>
      </c>
      <c r="B153" s="125"/>
      <c r="C153" s="125"/>
      <c r="D153" s="125"/>
      <c r="E153" s="70">
        <f>E151+E152+E154-E155</f>
        <v>2752139.6899999995</v>
      </c>
      <c r="F153" s="73">
        <v>0</v>
      </c>
      <c r="H153" s="100"/>
    </row>
    <row r="154" spans="1:10" s="7" customFormat="1" ht="11.25" customHeight="1">
      <c r="A154" s="77" t="s">
        <v>45</v>
      </c>
      <c r="B154" s="125"/>
      <c r="C154" s="125"/>
      <c r="D154" s="125"/>
      <c r="E154" s="70">
        <f>E81</f>
        <v>32540.57</v>
      </c>
      <c r="F154" s="73">
        <v>0</v>
      </c>
      <c r="H154" s="100"/>
      <c r="I154" s="100"/>
      <c r="J154" s="100"/>
    </row>
    <row r="155" spans="1:9" s="7" customFormat="1" ht="11.25" customHeight="1">
      <c r="A155" s="109" t="s">
        <v>46</v>
      </c>
      <c r="B155" s="127"/>
      <c r="C155" s="127"/>
      <c r="D155" s="127"/>
      <c r="E155" s="99">
        <f>17496.75+808565.53</f>
        <v>826062.28</v>
      </c>
      <c r="F155" s="108">
        <v>0</v>
      </c>
      <c r="G155" s="100"/>
      <c r="H155" s="100"/>
      <c r="I155" s="100"/>
    </row>
    <row r="156" spans="1:9" s="7" customFormat="1" ht="11.25" customHeight="1">
      <c r="A156" s="7" t="s">
        <v>50</v>
      </c>
      <c r="I156" s="100"/>
    </row>
    <row r="157" spans="1:6" s="7" customFormat="1" ht="11.25" customHeight="1">
      <c r="A157" s="163" t="s">
        <v>61</v>
      </c>
      <c r="B157" s="164"/>
      <c r="C157" s="164"/>
      <c r="D157" s="164"/>
      <c r="E157" s="164"/>
      <c r="F157" s="164"/>
    </row>
    <row r="158" spans="1:6" s="7" customFormat="1" ht="22.5" customHeight="1">
      <c r="A158" s="165" t="s">
        <v>119</v>
      </c>
      <c r="B158" s="164"/>
      <c r="C158" s="164"/>
      <c r="D158" s="164"/>
      <c r="E158" s="164"/>
      <c r="F158" s="164"/>
    </row>
    <row r="159" spans="1:6" s="7" customFormat="1" ht="11.25" customHeight="1">
      <c r="A159" s="163" t="s">
        <v>88</v>
      </c>
      <c r="B159" s="166"/>
      <c r="C159" s="166"/>
      <c r="D159" s="166"/>
      <c r="E159" s="166"/>
      <c r="F159" s="166"/>
    </row>
    <row r="160" spans="1:6" s="7" customFormat="1" ht="11.25" customHeight="1">
      <c r="A160" s="163" t="s">
        <v>89</v>
      </c>
      <c r="B160" s="166"/>
      <c r="C160" s="166"/>
      <c r="D160" s="166"/>
      <c r="E160" s="166"/>
      <c r="F160" s="166"/>
    </row>
    <row r="161" spans="1:6" s="7" customFormat="1" ht="11.25" customHeight="1">
      <c r="A161" s="163" t="s">
        <v>75</v>
      </c>
      <c r="B161" s="166"/>
      <c r="C161" s="166"/>
      <c r="D161" s="166"/>
      <c r="E161" s="166"/>
      <c r="F161" s="166"/>
    </row>
    <row r="162" spans="1:6" s="7" customFormat="1" ht="11.25" customHeight="1">
      <c r="A162" s="28"/>
      <c r="B162" s="25"/>
      <c r="C162" s="25"/>
      <c r="D162" s="25"/>
      <c r="E162" s="25"/>
      <c r="F162" s="25"/>
    </row>
    <row r="163" spans="1:6" s="7" customFormat="1" ht="11.25" customHeight="1">
      <c r="A163" s="162"/>
      <c r="B163" s="162"/>
      <c r="C163" s="162"/>
      <c r="D163" s="162"/>
      <c r="E163" s="28"/>
      <c r="F163" s="28"/>
    </row>
    <row r="164" spans="1:6" ht="11.25" customHeight="1">
      <c r="A164" s="162"/>
      <c r="B164" s="162"/>
      <c r="C164" s="162"/>
      <c r="D164" s="162"/>
      <c r="E164" s="28"/>
      <c r="F164" s="28"/>
    </row>
    <row r="166" spans="1:6" ht="11.25" customHeight="1">
      <c r="A166" s="76" t="s">
        <v>143</v>
      </c>
      <c r="C166" s="78"/>
      <c r="D166" s="78"/>
      <c r="E166" s="78" t="s">
        <v>144</v>
      </c>
      <c r="F166" s="78"/>
    </row>
    <row r="167" spans="1:6" ht="11.25" customHeight="1">
      <c r="A167" s="12" t="s">
        <v>162</v>
      </c>
      <c r="C167" s="4"/>
      <c r="D167" s="123" t="s">
        <v>145</v>
      </c>
      <c r="E167" s="123"/>
      <c r="F167" s="123"/>
    </row>
  </sheetData>
  <mergeCells count="79">
    <mergeCell ref="B147:C147"/>
    <mergeCell ref="D147:F147"/>
    <mergeCell ref="A149:D150"/>
    <mergeCell ref="A163:D163"/>
    <mergeCell ref="E149:F149"/>
    <mergeCell ref="B151:D151"/>
    <mergeCell ref="B152:D152"/>
    <mergeCell ref="B153:D153"/>
    <mergeCell ref="B154:D154"/>
    <mergeCell ref="B155:D155"/>
    <mergeCell ref="A164:D164"/>
    <mergeCell ref="A157:F157"/>
    <mergeCell ref="A158:F158"/>
    <mergeCell ref="A159:F159"/>
    <mergeCell ref="A160:F160"/>
    <mergeCell ref="A161:F161"/>
    <mergeCell ref="A144:A146"/>
    <mergeCell ref="B144:C144"/>
    <mergeCell ref="D144:F144"/>
    <mergeCell ref="B145:C145"/>
    <mergeCell ref="D145:F145"/>
    <mergeCell ref="B146:C146"/>
    <mergeCell ref="D146:F146"/>
    <mergeCell ref="E128:F128"/>
    <mergeCell ref="A127:D127"/>
    <mergeCell ref="A135:F135"/>
    <mergeCell ref="A133:D133"/>
    <mergeCell ref="E133:F133"/>
    <mergeCell ref="E134:F134"/>
    <mergeCell ref="A96:E96"/>
    <mergeCell ref="A97:E97"/>
    <mergeCell ref="A100:D100"/>
    <mergeCell ref="E124:F124"/>
    <mergeCell ref="A102:D102"/>
    <mergeCell ref="A122:D122"/>
    <mergeCell ref="E122:F122"/>
    <mergeCell ref="A123:D123"/>
    <mergeCell ref="E123:F123"/>
    <mergeCell ref="D108:F108"/>
    <mergeCell ref="A67:F67"/>
    <mergeCell ref="D68:F68"/>
    <mergeCell ref="A129:D129"/>
    <mergeCell ref="A7:F7"/>
    <mergeCell ref="D8:F8"/>
    <mergeCell ref="D53:F53"/>
    <mergeCell ref="A95:E95"/>
    <mergeCell ref="E100:F100"/>
    <mergeCell ref="E101:F101"/>
    <mergeCell ref="A99:E99"/>
    <mergeCell ref="A98:E98"/>
    <mergeCell ref="A101:D101"/>
    <mergeCell ref="A1:F1"/>
    <mergeCell ref="A2:F2"/>
    <mergeCell ref="A3:F3"/>
    <mergeCell ref="A4:F4"/>
    <mergeCell ref="A5:F5"/>
    <mergeCell ref="A83:F83"/>
    <mergeCell ref="A84:F84"/>
    <mergeCell ref="D85:F85"/>
    <mergeCell ref="E102:F102"/>
    <mergeCell ref="D167:F167"/>
    <mergeCell ref="E129:F129"/>
    <mergeCell ref="E130:F130"/>
    <mergeCell ref="E131:F131"/>
    <mergeCell ref="E132:F132"/>
    <mergeCell ref="A131:D131"/>
    <mergeCell ref="A130:D130"/>
    <mergeCell ref="A125:D125"/>
    <mergeCell ref="A126:D126"/>
    <mergeCell ref="A132:D132"/>
    <mergeCell ref="A134:D134"/>
    <mergeCell ref="D136:F136"/>
    <mergeCell ref="A103:F103"/>
    <mergeCell ref="D104:F104"/>
    <mergeCell ref="A128:D128"/>
    <mergeCell ref="A124:D124"/>
    <mergeCell ref="E125:F125"/>
    <mergeCell ref="E126:F126"/>
    <mergeCell ref="E127:F127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scale="69" r:id="rId1"/>
  <rowBreaks count="1" manualBreakCount="1"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t-gambati</cp:lastModifiedBy>
  <cp:lastPrinted>2009-05-22T19:49:59Z</cp:lastPrinted>
  <dcterms:created xsi:type="dcterms:W3CDTF">2004-08-09T19:29:24Z</dcterms:created>
  <dcterms:modified xsi:type="dcterms:W3CDTF">2009-05-22T19:50:03Z</dcterms:modified>
  <cp:category/>
  <cp:version/>
  <cp:contentType/>
  <cp:contentStatus/>
</cp:coreProperties>
</file>